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65521" windowWidth="27495" windowHeight="14055" tabRatio="642" activeTab="0"/>
  </bookViews>
  <sheets>
    <sheet name="Master Sheet" sheetId="1" r:id="rId1"/>
    <sheet name="Annualization" sheetId="2" r:id="rId2"/>
    <sheet name="Total Net Revenue" sheetId="3" r:id="rId3"/>
    <sheet name="Fixed Expenses" sheetId="4" r:id="rId4"/>
    <sheet name="Variable Expenses" sheetId="5" r:id="rId5"/>
    <sheet name="Income Taxes" sheetId="6" r:id="rId6"/>
    <sheet name="Net Working Capital" sheetId="7" r:id="rId7"/>
    <sheet name="Capital Expenditures" sheetId="8" r:id="rId8"/>
    <sheet name="WACC" sheetId="9" r:id="rId9"/>
  </sheets>
  <externalReferences>
    <externalReference r:id="rId12"/>
    <externalReference r:id="rId13"/>
    <externalReference r:id="rId14"/>
    <externalReference r:id="rId15"/>
  </externalReferences>
  <definedNames/>
  <calcPr fullCalcOnLoad="1"/>
</workbook>
</file>

<file path=xl/comments1.xml><?xml version="1.0" encoding="utf-8"?>
<comments xmlns="http://schemas.openxmlformats.org/spreadsheetml/2006/main">
  <authors>
    <author>Deputy Clerk</author>
    <author> </author>
  </authors>
  <commentList>
    <comment ref="F53" authorId="0">
      <text>
        <r>
          <rPr>
            <sz val="8"/>
            <rFont val="Tahoma"/>
            <family val="0"/>
          </rPr>
          <t>Mid-year convention used in deriving discount period because Reese Hospital would expect to earn revenue throughout the year and distribute returns accordingly.</t>
        </r>
      </text>
    </comment>
    <comment ref="H53" authorId="0">
      <text>
        <r>
          <rPr>
            <sz val="8"/>
            <rFont val="Tahoma"/>
            <family val="0"/>
          </rPr>
          <t xml:space="preserve">
Mid-year convention used in deriving discount period because Reese Hospital would expect to earn revenue throughout the year and distribute returns accordingly.</t>
        </r>
      </text>
    </comment>
    <comment ref="J53" authorId="0">
      <text>
        <r>
          <rPr>
            <sz val="8"/>
            <rFont val="Tahoma"/>
            <family val="0"/>
          </rPr>
          <t xml:space="preserve">
Mid-year convention used in deriving discount period because Reese Hospital would expect to earn revenue throughout the year and distribute returns accordingly.</t>
        </r>
      </text>
    </comment>
    <comment ref="L53" authorId="0">
      <text>
        <r>
          <rPr>
            <sz val="8"/>
            <rFont val="Tahoma"/>
            <family val="0"/>
          </rPr>
          <t>Mid-year convention used in deriving discount period because Reese Hospital would expect to earn revenue throughout the year and distribute returns accordingly.</t>
        </r>
      </text>
    </comment>
    <comment ref="N53" authorId="0">
      <text>
        <r>
          <rPr>
            <sz val="8"/>
            <rFont val="Tahoma"/>
            <family val="0"/>
          </rPr>
          <t>Mid-year convention used in deriving discount period because Reese Hospital would expect to earn revenue throughout the year and distribute returns accordingly.</t>
        </r>
      </text>
    </comment>
    <comment ref="F68" authorId="0">
      <text>
        <r>
          <rPr>
            <sz val="8"/>
            <rFont val="Tahoma"/>
            <family val="0"/>
          </rPr>
          <t xml:space="preserve">Figure calculated using appropriate method for determining present value of terminal value where terminal value is determined using Gordon Model.  Jay E. Fishman et al., </t>
        </r>
        <r>
          <rPr>
            <u val="single"/>
            <sz val="8"/>
            <rFont val="Tahoma"/>
            <family val="2"/>
          </rPr>
          <t>PPC’s Guide to Business Valuations</t>
        </r>
        <r>
          <rPr>
            <sz val="8"/>
            <rFont val="Tahoma"/>
            <family val="0"/>
          </rPr>
          <t xml:space="preserve"> ¶ 505.62  (15th ed. 2005).</t>
        </r>
      </text>
    </comment>
    <comment ref="F83" authorId="1">
      <text>
        <r>
          <rPr>
            <sz val="8"/>
            <rFont val="Tahoma"/>
            <family val="0"/>
          </rPr>
          <t>Pl. Ex. 10 at HCA/MR-05072.</t>
        </r>
      </text>
    </comment>
  </commentList>
</comments>
</file>

<file path=xl/comments3.xml><?xml version="1.0" encoding="utf-8"?>
<comments xmlns="http://schemas.openxmlformats.org/spreadsheetml/2006/main">
  <authors>
    <author>Deputy Clerk</author>
  </authors>
  <commentList>
    <comment ref="G42" authorId="0">
      <text>
        <r>
          <rPr>
            <sz val="8"/>
            <rFont val="Tahoma"/>
            <family val="0"/>
          </rPr>
          <t>Long term growth rate derived from Reese October Projections.  (Pl. Ex. 144A at TRUST EXPERT 010801.)</t>
        </r>
      </text>
    </comment>
    <comment ref="G49" authorId="0">
      <text>
        <r>
          <rPr>
            <sz val="8"/>
            <rFont val="Tahoma"/>
            <family val="0"/>
          </rPr>
          <t>Long term growth rate derived from Reese October Projections.  (Pl. Ex. 144A at TRUST EXPERT 010801.)</t>
        </r>
      </text>
    </comment>
  </commentList>
</comments>
</file>

<file path=xl/comments4.xml><?xml version="1.0" encoding="utf-8"?>
<comments xmlns="http://schemas.openxmlformats.org/spreadsheetml/2006/main">
  <authors>
    <author>Deputy Clerk</author>
  </authors>
  <commentList>
    <comment ref="H6" authorId="0">
      <text>
        <r>
          <rPr>
            <sz val="8"/>
            <rFont val="Tahoma"/>
            <family val="0"/>
          </rPr>
          <t>These figures were supplied by the  Reese October Projections.  (Pl. Ex. 144A at TRUST EXPERT 010801.)</t>
        </r>
      </text>
    </comment>
    <comment ref="J6" authorId="0">
      <text>
        <r>
          <rPr>
            <sz val="8"/>
            <rFont val="Tahoma"/>
            <family val="0"/>
          </rPr>
          <t>These figures were supplied by the  Reese October Projections.  (Pl. Ex. 144A at TRUST EXPERT 010801.)</t>
        </r>
      </text>
    </comment>
    <comment ref="H10" authorId="0">
      <text>
        <r>
          <rPr>
            <sz val="8"/>
            <rFont val="Tahoma"/>
            <family val="0"/>
          </rPr>
          <t>These figures were derived from the  Reese October Projections.  (Pl. Ex. 144A at TRUST EXPERT 010801.)</t>
        </r>
      </text>
    </comment>
    <comment ref="J10" authorId="0">
      <text>
        <r>
          <rPr>
            <sz val="8"/>
            <rFont val="Tahoma"/>
            <family val="0"/>
          </rPr>
          <t>These figures were supplied by the  Reese October Projections.  (Pl. Ex. 144A at TRUST EXPERT 010801.)</t>
        </r>
      </text>
    </comment>
    <comment ref="H21" authorId="0">
      <text>
        <r>
          <rPr>
            <sz val="8"/>
            <rFont val="Tahoma"/>
            <family val="0"/>
          </rPr>
          <t>Periodic inflation rate derived from Reese October Projections.  (Pl. Ex. 300 at TRUST EXPERT 010801.)</t>
        </r>
      </text>
    </comment>
    <comment ref="J21" authorId="0">
      <text>
        <r>
          <rPr>
            <sz val="8"/>
            <rFont val="Tahoma"/>
            <family val="0"/>
          </rPr>
          <t>Periodic inflation rate derived from Reese October Projections.  (Pl. Ex. 300 at TRUST EXPERT 010801.)</t>
        </r>
      </text>
    </comment>
    <comment ref="L21" authorId="0">
      <text>
        <r>
          <rPr>
            <sz val="8"/>
            <rFont val="Tahoma"/>
            <family val="0"/>
          </rPr>
          <t>Periodic inflation rate derived from Reese October Projections.  (Pl. Ex. 300 at TRUST EXPERT 010801.)</t>
        </r>
      </text>
    </comment>
    <comment ref="H25" authorId="0">
      <text>
        <r>
          <rPr>
            <sz val="8"/>
            <rFont val="Tahoma"/>
            <family val="0"/>
          </rPr>
          <t>These figures were supplied by the  Reese October Projections.  (Pl. Ex. 144A at TRUST EXPERT 010801.)</t>
        </r>
      </text>
    </comment>
    <comment ref="J25" authorId="0">
      <text>
        <r>
          <rPr>
            <sz val="8"/>
            <rFont val="Tahoma"/>
            <family val="0"/>
          </rPr>
          <t>These figures were supplied by the  Reese October Projections.  (Pl. Ex. 144A at TRUST EXPERT 010801.)</t>
        </r>
      </text>
    </comment>
    <comment ref="L25" authorId="0">
      <text>
        <r>
          <rPr>
            <sz val="8"/>
            <rFont val="Tahoma"/>
            <family val="0"/>
          </rPr>
          <t>These figures were supplied by the  Reese October Projections.  (Pl. Ex. 144A at TRUST EXPERT 010801.)</t>
        </r>
      </text>
    </comment>
  </commentList>
</comments>
</file>

<file path=xl/comments6.xml><?xml version="1.0" encoding="utf-8"?>
<comments xmlns="http://schemas.openxmlformats.org/spreadsheetml/2006/main">
  <authors>
    <author>Deputy Clerk</author>
  </authors>
  <commentList>
    <comment ref="M9" authorId="0">
      <text>
        <r>
          <rPr>
            <sz val="8"/>
            <rFont val="Tahoma"/>
            <family val="0"/>
          </rPr>
          <t>Tax rate derived from PPC's Guide to Business Valuations at Ex. 5-18 (15th ed. 2005).</t>
        </r>
      </text>
    </comment>
    <comment ref="M8" authorId="0">
      <text>
        <r>
          <rPr>
            <sz val="8"/>
            <rFont val="Tahoma"/>
            <family val="0"/>
          </rPr>
          <t xml:space="preserve">Per 35 Ill. Comp. Stat. 5/201 (1990). </t>
        </r>
      </text>
    </comment>
  </commentList>
</comments>
</file>

<file path=xl/comments7.xml><?xml version="1.0" encoding="utf-8"?>
<comments xmlns="http://schemas.openxmlformats.org/spreadsheetml/2006/main">
  <authors>
    <author>Deputy Clerk</author>
  </authors>
  <commentList>
    <comment ref="E4" authorId="0">
      <text>
        <r>
          <rPr>
            <sz val="8"/>
            <rFont val="Tahoma"/>
            <family val="0"/>
          </rPr>
          <t>Percentage derived from Demchick DCF model because model reflects company-specific performance, not performance of non-comparable guideline companies.  (Pl. Ex. 209 at Ex. O.)</t>
        </r>
      </text>
    </comment>
    <comment ref="G4" authorId="0">
      <text>
        <r>
          <rPr>
            <sz val="8"/>
            <rFont val="Tahoma"/>
            <family val="0"/>
          </rPr>
          <t>Percentage derived from Demchick DCF model because model reflects company-specific performance, not performance of non-comparable guideline companies.  (Pl. Ex. 209 at Ex. O.)</t>
        </r>
      </text>
    </comment>
    <comment ref="I4" authorId="0">
      <text>
        <r>
          <rPr>
            <sz val="8"/>
            <rFont val="Tahoma"/>
            <family val="0"/>
          </rPr>
          <t>Percentage derived from Demchick DCF model because model reflects company-specific performance, not performance of non-comparable guideline companies.  (Pl. Ex. 209 at Ex. O.)</t>
        </r>
      </text>
    </comment>
    <comment ref="K4" authorId="0">
      <text>
        <r>
          <rPr>
            <sz val="8"/>
            <rFont val="Tahoma"/>
            <family val="0"/>
          </rPr>
          <t>Percentage derived from Demchick DCF model because model reflects company-specific performance, not performance of non-comparable guideline companies.  (Pl. Ex. 209 at Ex. O.)</t>
        </r>
      </text>
    </comment>
    <comment ref="M4" authorId="0">
      <text>
        <r>
          <rPr>
            <sz val="8"/>
            <rFont val="Tahoma"/>
            <family val="0"/>
          </rPr>
          <t>Percentage derived from Demchick DCF model because model reflects company-specific performance, not performance of non-comparable guideline companies.  (Pl. Ex. 209 at Ex. O.)</t>
        </r>
      </text>
    </comment>
    <comment ref="E7" authorId="0">
      <text>
        <r>
          <rPr>
            <sz val="8"/>
            <rFont val="Tahoma"/>
            <family val="0"/>
          </rPr>
          <t>Prorated from figures provided in the expert report to Neil H. Demchick.  (Pl. Ex. 209 at Ex. O.)</t>
        </r>
      </text>
    </comment>
    <comment ref="G7" authorId="0">
      <text>
        <r>
          <rPr>
            <sz val="8"/>
            <rFont val="Tahoma"/>
            <family val="0"/>
          </rPr>
          <t>Annualized from 11/13/98-12/31/98 figure.</t>
        </r>
      </text>
    </comment>
  </commentList>
</comments>
</file>

<file path=xl/comments8.xml><?xml version="1.0" encoding="utf-8"?>
<comments xmlns="http://schemas.openxmlformats.org/spreadsheetml/2006/main">
  <authors>
    <author>Deputy Clerk</author>
  </authors>
  <commentList>
    <comment ref="F9" authorId="0">
      <text>
        <r>
          <rPr>
            <sz val="8"/>
            <rFont val="Tahoma"/>
            <family val="0"/>
          </rPr>
          <t>Adjusted to reflect unreasonableness of Reese Management Team Strategic Assumption that ER could be relocated during the "stump period" of 1998 by spreading cost of relocation over the "stump period" of 1998 and 1999.</t>
        </r>
      </text>
    </comment>
    <comment ref="F11" authorId="0">
      <text>
        <r>
          <rPr>
            <sz val="8"/>
            <rFont val="Tahoma"/>
            <family val="0"/>
          </rPr>
          <t>Adjusted to reflect unreasonableness of Reese Management Team Strategic Assumption that cosmetic enhancements would be completed during the "stump period" of 1998 by spreading cost of enhancements over the "stump period" of 1998 and 1999.</t>
        </r>
      </text>
    </comment>
    <comment ref="F12" authorId="0">
      <text>
        <r>
          <rPr>
            <sz val="8"/>
            <rFont val="Tahoma"/>
            <family val="0"/>
          </rPr>
          <t>Figure derived by multiplying pro rata amount of annual expenditures by number of days in the "stump period" of 1998.</t>
        </r>
      </text>
    </comment>
    <comment ref="F21" authorId="0">
      <text>
        <r>
          <rPr>
            <sz val="8"/>
            <rFont val="Tahoma"/>
            <family val="0"/>
          </rPr>
          <t>Adjusted to reflect unreasonableness of Reese Management Team Strategic Assumption that ER could be relocated during the "stump period" of 1998 by spreading cost of relocation over the "stump period" of 1998 and 1999.</t>
        </r>
      </text>
    </comment>
    <comment ref="F22" authorId="0">
      <text>
        <r>
          <rPr>
            <sz val="8"/>
            <rFont val="Tahoma"/>
            <family val="0"/>
          </rPr>
          <t>Adjusted to reflect unreasonableness of Reese Management Team Strategic Assumption regarding construction of SNF unit when proceeds from unit could not be projected with any degree of certainty.</t>
        </r>
      </text>
    </comment>
    <comment ref="F23" authorId="0">
      <text>
        <r>
          <rPr>
            <sz val="8"/>
            <rFont val="Tahoma"/>
            <family val="0"/>
          </rPr>
          <t>Adjusted to reflect unreasonableness of Reese Management Team Strategic Assumption that cosmetic enhancements would be completed during the "stump period" of 1998 by spreading cost of enhancements over the "stump period" of 1998 and 1999.</t>
        </r>
      </text>
    </comment>
    <comment ref="F24" authorId="0">
      <text>
        <r>
          <rPr>
            <sz val="8"/>
            <rFont val="Tahoma"/>
            <family val="0"/>
          </rPr>
          <t>Figure derived by multiplying pro rata amount of annual expenditures by number of days in the "stump period" of 1998.</t>
        </r>
      </text>
    </comment>
    <comment ref="F20" authorId="0">
      <text>
        <r>
          <rPr>
            <sz val="8"/>
            <rFont val="Tahoma"/>
            <family val="0"/>
          </rPr>
          <t>Adjusted to reflect unreasonableness of Reese Management Team Strategic Assumption regarding purchase of linear accelerator when proceeds from linear accelearator could not be projected with any degree of certainty.</t>
        </r>
      </text>
    </comment>
    <comment ref="D12" authorId="0">
      <text>
        <r>
          <rPr>
            <sz val="8"/>
            <rFont val="Tahoma"/>
            <family val="0"/>
          </rPr>
          <t>Figure derived from testimony of Neil Demchick.  (Trial Tr. 1890:12-15, Feb. 1, 2007 (Demchick, N.).)</t>
        </r>
      </text>
    </comment>
    <comment ref="D24" authorId="0">
      <text>
        <r>
          <rPr>
            <sz val="8"/>
            <rFont val="Tahoma"/>
            <family val="0"/>
          </rPr>
          <t>Figure derived from testimony of Neil Demchick.  (Trial Tr. 1890:12-15, Feb. 1, 2007 (Demchick, N.).)</t>
        </r>
      </text>
    </comment>
  </commentList>
</comments>
</file>

<file path=xl/comments9.xml><?xml version="1.0" encoding="utf-8"?>
<comments xmlns="http://schemas.openxmlformats.org/spreadsheetml/2006/main">
  <authors>
    <author>Deputy Clerk</author>
  </authors>
  <commentList>
    <comment ref="E3" authorId="0">
      <text>
        <r>
          <rPr>
            <sz val="8"/>
            <rFont val="Tahoma"/>
            <family val="0"/>
          </rPr>
          <t>Figure adopted from Moss Report because this figure more accurately reflects the applicable risk-free rate set foth in the 20-year Treasury Bill, Constant Maturity Rate as of November 12, 1998.  (Def. Ex. JV at Ex. 2-Ex.8.)</t>
        </r>
      </text>
    </comment>
    <comment ref="E4" authorId="0">
      <text>
        <r>
          <rPr>
            <sz val="8"/>
            <rFont val="Tahoma"/>
            <family val="0"/>
          </rPr>
          <t>Figure adopted from Demchick Report because this figure is based on Ibbotson number, which is generally accepted as the authoritative source for premium rates.  (Trial Tr. 2111:9-12, Feb. 6, 2007 (Demchick, N.).)</t>
        </r>
      </text>
    </comment>
    <comment ref="E8" authorId="0">
      <text>
        <r>
          <rPr>
            <sz val="8"/>
            <rFont val="Tahoma"/>
            <family val="0"/>
          </rPr>
          <t xml:space="preserve">Figure adopted from Moss Report because figure in Demchick Report uses size premium for aggregated ninth and tenth decile of companies as ranked by size of equity investment, and Reese Corp. clearly fell into tenth decile, which is reflected in Moss Report.  (Def. Ex. JV at Ex. 2-Ex. 8); </t>
        </r>
        <r>
          <rPr>
            <u val="single"/>
            <sz val="8"/>
            <rFont val="Tahoma"/>
            <family val="2"/>
          </rPr>
          <t>see</t>
        </r>
        <r>
          <rPr>
            <sz val="8"/>
            <rFont val="Tahoma"/>
            <family val="2"/>
          </rPr>
          <t xml:space="preserve"> </t>
        </r>
        <r>
          <rPr>
            <u val="single"/>
            <sz val="8"/>
            <rFont val="Tahoma"/>
            <family val="2"/>
          </rPr>
          <t>Stocks, Bonds, Bills and Inflation 1998 Yearbook</t>
        </r>
        <r>
          <rPr>
            <sz val="8"/>
            <rFont val="Tahoma"/>
            <family val="2"/>
          </rPr>
          <t>, Ibbotson Associates, Inc., at 142 (1998).</t>
        </r>
      </text>
    </comment>
    <comment ref="E9" authorId="0">
      <text>
        <r>
          <rPr>
            <sz val="8"/>
            <rFont val="Tahoma"/>
            <family val="0"/>
          </rPr>
          <t>Figure adopted from Demchick Report to reflect relative stability of the hospital market.  (Trial Tr. 2112:18-2113:5, Feb. 6, 2007 (Demchick, N.); Pl. Ex. 209 at Ex. M-1.)</t>
        </r>
      </text>
    </comment>
    <comment ref="E10" authorId="0">
      <text>
        <r>
          <rPr>
            <sz val="8"/>
            <rFont val="Tahoma"/>
            <family val="0"/>
          </rPr>
          <t>Adjusted to reflect Final Projections, which are more conservative than Demchick's Strategic Growth Scenario in some respects but not in others.</t>
        </r>
      </text>
    </comment>
    <comment ref="G3" authorId="0">
      <text>
        <r>
          <rPr>
            <sz val="8"/>
            <rFont val="Tahoma"/>
            <family val="0"/>
          </rPr>
          <t>Figure adopted from Moss Report because this figure more accurately reflects the applicable risk-free rate set foth in the 20-year Treasury Bill, Constant Maturity Rate as of November 12, 1998.  (Def. Ex. JV at Ex. 2-Ex.8.)</t>
        </r>
      </text>
    </comment>
    <comment ref="G4" authorId="0">
      <text>
        <r>
          <rPr>
            <sz val="8"/>
            <rFont val="Tahoma"/>
            <family val="0"/>
          </rPr>
          <t>Figure adopted from Demchick Report because this figure is based on Ibbotson number, which is generally accepted as the authoritative source for premium rates.  (Trial Tr. 2111:9-12, Feb. 6, 2007 (Demchick, N.).)</t>
        </r>
      </text>
    </comment>
    <comment ref="G8" authorId="0">
      <text>
        <r>
          <rPr>
            <sz val="8"/>
            <rFont val="Tahoma"/>
            <family val="0"/>
          </rPr>
          <t xml:space="preserve">Figure adopted from Moss Report because figure in Demchick Report uses size premium for aggregated ninth and tenth decile of companies as ranked by size of equity investment, and Reese Corp. clearly fell into tenth decile, which is reflected in Moss Report.  (Def. Ex. JV at Ex. 2-Ex. 8); </t>
        </r>
        <r>
          <rPr>
            <u val="single"/>
            <sz val="8"/>
            <rFont val="Tahoma"/>
            <family val="2"/>
          </rPr>
          <t>see</t>
        </r>
        <r>
          <rPr>
            <sz val="8"/>
            <rFont val="Tahoma"/>
            <family val="2"/>
          </rPr>
          <t xml:space="preserve"> </t>
        </r>
        <r>
          <rPr>
            <u val="single"/>
            <sz val="8"/>
            <rFont val="Tahoma"/>
            <family val="2"/>
          </rPr>
          <t>Stocks, Bonds, Bills and Inflation 1998 Yearbook</t>
        </r>
        <r>
          <rPr>
            <sz val="8"/>
            <rFont val="Tahoma"/>
            <family val="2"/>
          </rPr>
          <t>, Ibbotson Associates, Inc., at 142 (1998).</t>
        </r>
      </text>
    </comment>
    <comment ref="G9" authorId="0">
      <text>
        <r>
          <rPr>
            <sz val="8"/>
            <rFont val="Tahoma"/>
            <family val="0"/>
          </rPr>
          <t>Figure adopted from Demchick Report to reflect relative stability of the hospital market.  (Trial Tr. 2112:18-2113:5, Feb. 6, 2007 (Demchick, N.); Pl. Ex. 209 at Ex. M-1.)</t>
        </r>
      </text>
    </comment>
    <comment ref="I3" authorId="0">
      <text>
        <r>
          <rPr>
            <sz val="8"/>
            <rFont val="Tahoma"/>
            <family val="0"/>
          </rPr>
          <t>Figure adopted from Moss Report because this figure more accurately reflects the applicable risk-free rate set foth in the 20-year Treasury Bill, Constant Maturity Rate as of November 12, 1998.  (Def. Ex. JV at Ex. 2-Ex.8.)</t>
        </r>
      </text>
    </comment>
    <comment ref="I4" authorId="0">
      <text>
        <r>
          <rPr>
            <sz val="8"/>
            <rFont val="Tahoma"/>
            <family val="0"/>
          </rPr>
          <t>Figure adopted from Demchick Report because this figure is based on Ibbotson number, which is generally accepted as the authoritative source for premium rates.  (Trial Tr. 2111:9-12, Feb. 6, 2007 (Demchick, N.).)</t>
        </r>
      </text>
    </comment>
    <comment ref="I8" authorId="0">
      <text>
        <r>
          <rPr>
            <sz val="8"/>
            <rFont val="Tahoma"/>
            <family val="0"/>
          </rPr>
          <t xml:space="preserve">Figure adopted from Moss Report because figure in Demchick Report uses size premium for aggregated ninth and tenth decile of companies as ranked by size of equity investment, and Reese Corp. clearly fell into tenth decile, which is reflected in Moss Report.  (Def. Ex. JV at Ex. 2-Ex. 8); </t>
        </r>
        <r>
          <rPr>
            <u val="single"/>
            <sz val="8"/>
            <rFont val="Tahoma"/>
            <family val="2"/>
          </rPr>
          <t>see</t>
        </r>
        <r>
          <rPr>
            <sz val="8"/>
            <rFont val="Tahoma"/>
            <family val="2"/>
          </rPr>
          <t xml:space="preserve"> </t>
        </r>
        <r>
          <rPr>
            <u val="single"/>
            <sz val="8"/>
            <rFont val="Tahoma"/>
            <family val="2"/>
          </rPr>
          <t>Stocks, Bonds, Bills and Inflation 1998 Yearbook</t>
        </r>
        <r>
          <rPr>
            <sz val="8"/>
            <rFont val="Tahoma"/>
            <family val="2"/>
          </rPr>
          <t>, Ibbotson Associates, Inc., at 142 (1998).</t>
        </r>
      </text>
    </comment>
    <comment ref="I9" authorId="0">
      <text>
        <r>
          <rPr>
            <sz val="8"/>
            <rFont val="Tahoma"/>
            <family val="0"/>
          </rPr>
          <t>Figure adopted from Demchick Report to reflect relative stability of the hospital market.  (Trial Tr. 2112:18-2113:5, Feb. 6, 2007 (Demchick, N.); Pl. Ex. 209 at Ex. M-1.)</t>
        </r>
      </text>
    </comment>
    <comment ref="K3" authorId="0">
      <text>
        <r>
          <rPr>
            <sz val="8"/>
            <rFont val="Tahoma"/>
            <family val="0"/>
          </rPr>
          <t>Figure adopted from Moss Report because this figure more accurately reflects the applicable risk-free rate set foth in the 20-year Treasury Bill, Constant Maturity Rate as of November 12, 1998.  (Def. Ex. JV at Ex. 2-Ex.8.)</t>
        </r>
      </text>
    </comment>
    <comment ref="K4" authorId="0">
      <text>
        <r>
          <rPr>
            <sz val="8"/>
            <rFont val="Tahoma"/>
            <family val="0"/>
          </rPr>
          <t>Figure adopted from Demchick Report because this figure is based on Ibbotson number, which is generally accepted as the authoritative source for premium rates.  (Trial Tr. 2111:9-12, Feb. 6, 2007 (Demchick, N.).)</t>
        </r>
      </text>
    </comment>
    <comment ref="K8" authorId="0">
      <text>
        <r>
          <rPr>
            <sz val="8"/>
            <rFont val="Tahoma"/>
            <family val="0"/>
          </rPr>
          <t xml:space="preserve">Figure adopted from Moss Report because figure in Demchick Report uses size premium for aggregated ninth and tenth decile of companies as ranked by size of equity investment, and Reese Corp. clearly fell into tenth decile, which is reflected in Moss Report.  (Def. Ex. JV at Ex. 2-Ex. 8); </t>
        </r>
        <r>
          <rPr>
            <u val="single"/>
            <sz val="8"/>
            <rFont val="Tahoma"/>
            <family val="2"/>
          </rPr>
          <t>see</t>
        </r>
        <r>
          <rPr>
            <sz val="8"/>
            <rFont val="Tahoma"/>
            <family val="2"/>
          </rPr>
          <t xml:space="preserve"> </t>
        </r>
        <r>
          <rPr>
            <u val="single"/>
            <sz val="8"/>
            <rFont val="Tahoma"/>
            <family val="2"/>
          </rPr>
          <t>Stocks, Bonds, Bills and Inflation 1998 Yearbook</t>
        </r>
        <r>
          <rPr>
            <sz val="8"/>
            <rFont val="Tahoma"/>
            <family val="2"/>
          </rPr>
          <t>, Ibbotson Associates, Inc., at 142 (1998).</t>
        </r>
      </text>
    </comment>
    <comment ref="K9" authorId="0">
      <text>
        <r>
          <rPr>
            <sz val="8"/>
            <rFont val="Tahoma"/>
            <family val="0"/>
          </rPr>
          <t>Figure adopted from Demchick Report to reflect relative stability of the hospital market.  (Trial Tr. 2112:18-2113:5, Feb. 6, 2007 (Demchick, N.); Pl. Ex. 209 at Ex. M-1.)</t>
        </r>
      </text>
    </comment>
    <comment ref="M3" authorId="0">
      <text>
        <r>
          <rPr>
            <sz val="8"/>
            <rFont val="Tahoma"/>
            <family val="0"/>
          </rPr>
          <t>Figure adopted from Moss Report because this figure more accurately reflects the applicable risk-free rate set foth in the 20-year Treasury Bill, Constant Maturity Rate as of November 12, 1998.  (Def. Ex. JV at Ex. 2-Ex.8.)</t>
        </r>
      </text>
    </comment>
    <comment ref="M4" authorId="0">
      <text>
        <r>
          <rPr>
            <sz val="8"/>
            <rFont val="Tahoma"/>
            <family val="0"/>
          </rPr>
          <t>Figure adopted from Demchick Report because this figure is based on Ibbotson number, which is generally accepted as the authoritative source for premium rates.  (Trial Tr. 2111:9-12, Feb. 6, 2007 (Demchick, N.).)</t>
        </r>
      </text>
    </comment>
    <comment ref="M8" authorId="0">
      <text>
        <r>
          <rPr>
            <sz val="8"/>
            <rFont val="Tahoma"/>
            <family val="0"/>
          </rPr>
          <t xml:space="preserve">Figure adopted from Moss Report because figure in Demchick Report uses size premium for aggregated ninth and tenth decile of companies as ranked by size of equity investment, and Reese Corp. clearly fell into tenth decile, which is reflected in Moss Report.  (Def. Ex. JV at Ex. 2-Ex. 8); </t>
        </r>
        <r>
          <rPr>
            <u val="single"/>
            <sz val="8"/>
            <rFont val="Tahoma"/>
            <family val="2"/>
          </rPr>
          <t>see</t>
        </r>
        <r>
          <rPr>
            <sz val="8"/>
            <rFont val="Tahoma"/>
            <family val="2"/>
          </rPr>
          <t xml:space="preserve"> </t>
        </r>
        <r>
          <rPr>
            <u val="single"/>
            <sz val="8"/>
            <rFont val="Tahoma"/>
            <family val="2"/>
          </rPr>
          <t>Stocks, Bonds, Bills and Inflation 1998 Yearbook</t>
        </r>
        <r>
          <rPr>
            <sz val="8"/>
            <rFont val="Tahoma"/>
            <family val="2"/>
          </rPr>
          <t>, Ibbotson Associates, Inc., at 142 (1998).</t>
        </r>
      </text>
    </comment>
    <comment ref="M9" authorId="0">
      <text>
        <r>
          <rPr>
            <sz val="8"/>
            <rFont val="Tahoma"/>
            <family val="0"/>
          </rPr>
          <t>Figure adopted from Demchick Report to reflect relative stability of the hospital market.  (Trial Tr. 2112:18-2113:5, Feb. 6, 2007 (Demchick, N.); Pl. Ex. 209 at Ex. M-1.)</t>
        </r>
      </text>
    </comment>
    <comment ref="G10" authorId="0">
      <text>
        <r>
          <rPr>
            <sz val="8"/>
            <rFont val="Tahoma"/>
            <family val="0"/>
          </rPr>
          <t>Adjusted to reflect Final Projections, which are more conservative than Demchick's Strategic Growth Scenario in some respects but not in others.</t>
        </r>
      </text>
    </comment>
    <comment ref="I10" authorId="0">
      <text>
        <r>
          <rPr>
            <sz val="8"/>
            <rFont val="Tahoma"/>
            <family val="0"/>
          </rPr>
          <t>Adjusted to reflect Final Projections, which are more conservative than Demchick's Strategic Growth Scenario in some respects but not in others.</t>
        </r>
      </text>
    </comment>
    <comment ref="K10" authorId="0">
      <text>
        <r>
          <rPr>
            <sz val="8"/>
            <rFont val="Tahoma"/>
            <family val="0"/>
          </rPr>
          <t>Adjusted to reflect Final Projections, which are more conservative than Demchick's Strategic Growth Scenario in some respects but not in others.</t>
        </r>
      </text>
    </comment>
    <comment ref="M10" authorId="0">
      <text>
        <r>
          <rPr>
            <sz val="8"/>
            <rFont val="Tahoma"/>
            <family val="0"/>
          </rPr>
          <t>Adjusted to reflect Final Projections, which are more conservative than Demchick's Strategic Growth Scenario in some respects but not in others.</t>
        </r>
      </text>
    </comment>
  </commentList>
</comments>
</file>

<file path=xl/sharedStrings.xml><?xml version="1.0" encoding="utf-8"?>
<sst xmlns="http://schemas.openxmlformats.org/spreadsheetml/2006/main" count="271" uniqueCount="165">
  <si>
    <t>ANNUALIZATION WORKSHEET</t>
  </si>
  <si>
    <t>1/01/98-10/31/98</t>
  </si>
  <si>
    <t>Per Diem</t>
  </si>
  <si>
    <t>Annualized 1998</t>
  </si>
  <si>
    <t>Adjusted Figures</t>
  </si>
  <si>
    <t>Revenues</t>
  </si>
  <si>
    <t>Routine</t>
  </si>
  <si>
    <t>Inpatient Ancillary</t>
  </si>
  <si>
    <t>Total Inpatient Revenue</t>
  </si>
  <si>
    <t>Outpatient Ancillary</t>
  </si>
  <si>
    <t>Total Patient Revenue</t>
  </si>
  <si>
    <t>Other Operating Income</t>
  </si>
  <si>
    <t>Total Revenues</t>
  </si>
  <si>
    <t>Revenue Deductions</t>
  </si>
  <si>
    <t>Medicare CY Contractuals</t>
  </si>
  <si>
    <t>Medicaid CY Contractuals</t>
  </si>
  <si>
    <t>Champus CY Contractuals</t>
  </si>
  <si>
    <t>Prior Year Contractuals</t>
  </si>
  <si>
    <t>HMO/PPO Discounts</t>
  </si>
  <si>
    <t>Charity</t>
  </si>
  <si>
    <t>Other Deductions</t>
  </si>
  <si>
    <t>Total Revenue Deductions</t>
  </si>
  <si>
    <t>Total Net Revenue</t>
  </si>
  <si>
    <t>Inpatient</t>
  </si>
  <si>
    <t>Outpatient</t>
  </si>
  <si>
    <t>(Pl. Exs. 134 at HCA/MR-01240, 186 at HCA/MR 08011.)</t>
  </si>
  <si>
    <t>Net Revenue</t>
  </si>
  <si>
    <t>Expenses</t>
  </si>
  <si>
    <t>Fixed Expenses</t>
  </si>
  <si>
    <t>Repairs &amp; Maintenance</t>
  </si>
  <si>
    <t>Rents &amp; Leases</t>
  </si>
  <si>
    <t>Utilities</t>
  </si>
  <si>
    <t>Other Professional Fees</t>
  </si>
  <si>
    <t>Marketing Expense</t>
  </si>
  <si>
    <t>Other Taxes (Real Estate)</t>
  </si>
  <si>
    <t>Insurance</t>
  </si>
  <si>
    <t>Depreciation and Amortization</t>
  </si>
  <si>
    <t>Other Operating Expenses</t>
  </si>
  <si>
    <t>Total Fixed Expenses</t>
  </si>
  <si>
    <t>Variable Expenses</t>
  </si>
  <si>
    <t>Salaries &amp; Wages</t>
  </si>
  <si>
    <t>Contract Labor</t>
  </si>
  <si>
    <t>Employee Benefits</t>
  </si>
  <si>
    <t>Professional Fees</t>
  </si>
  <si>
    <t>Supplies &amp; Other</t>
  </si>
  <si>
    <t>Other Taxes (Sale &amp; Use)</t>
  </si>
  <si>
    <t>Contract Services</t>
  </si>
  <si>
    <t>Bad Debts</t>
  </si>
  <si>
    <t>Total Variable Expenses</t>
  </si>
  <si>
    <t>Total Expenses</t>
  </si>
  <si>
    <t>Net Patient Service Revenue</t>
  </si>
  <si>
    <t>Final Per Diem</t>
  </si>
  <si>
    <t>Final 11/13/98-12/31/98</t>
  </si>
  <si>
    <t>TOTAL NET REVENUE WORKSHEET</t>
  </si>
  <si>
    <t>Other Revenue</t>
  </si>
  <si>
    <t>11/13/98-12/31/98</t>
  </si>
  <si>
    <t>1997 Total Net Revenue</t>
  </si>
  <si>
    <t>Difference in $$$</t>
  </si>
  <si>
    <t>Difference in Percentage</t>
  </si>
  <si>
    <t>Weighted Difference</t>
  </si>
  <si>
    <t>Additional Revenue</t>
  </si>
  <si>
    <t>Projected Total Net Revenue</t>
  </si>
  <si>
    <t>Unadjusted Projected Total Net Revenue</t>
  </si>
  <si>
    <t>Projected Long-Term Growth Percentage</t>
  </si>
  <si>
    <t>Long-Term Growth Revenue</t>
  </si>
  <si>
    <t>Prior Year Projected Revenue</t>
  </si>
  <si>
    <t>1998 Final Annualized Revenue</t>
  </si>
  <si>
    <t>Projected Annualized Total Net Revenue</t>
  </si>
  <si>
    <t>Per Diem Total Net Revenue</t>
  </si>
  <si>
    <t>1999 Reese Projected Revenue</t>
  </si>
  <si>
    <t>FIXED EXPENSES SUMMARY</t>
  </si>
  <si>
    <t>Reese Annualized Projected 1998</t>
  </si>
  <si>
    <t>Reese Projected 1999</t>
  </si>
  <si>
    <t>Depreciation &amp; Amortization</t>
  </si>
  <si>
    <t>Total</t>
  </si>
  <si>
    <t>Final Projections</t>
  </si>
  <si>
    <t>VARIABLE EXPENSES SUMMARY</t>
  </si>
  <si>
    <t>Reese Projected 1998</t>
  </si>
  <si>
    <t>Percentage of Net Patient Service Revenue</t>
  </si>
  <si>
    <t>MASTER WORKSHEET</t>
  </si>
  <si>
    <t>Other Operating Revenue</t>
  </si>
  <si>
    <t>Operating Costs</t>
  </si>
  <si>
    <t>Fixed Costs</t>
  </si>
  <si>
    <t>Total Fixed Costs</t>
  </si>
  <si>
    <t>Variable Costs</t>
  </si>
  <si>
    <t>Total Variable Costs</t>
  </si>
  <si>
    <t>Total Operating Expenses</t>
  </si>
  <si>
    <t>Operating Income/EBIT</t>
  </si>
  <si>
    <t>Terminal Value</t>
  </si>
  <si>
    <t>Cash Flow Adjustments</t>
  </si>
  <si>
    <t>Adjustment for Taxes</t>
  </si>
  <si>
    <t>Capital Expenditures</t>
  </si>
  <si>
    <t>Total Cash Flow Adjustments</t>
  </si>
  <si>
    <t>Net Cash Flow</t>
  </si>
  <si>
    <t>Discount Period</t>
  </si>
  <si>
    <t>Discount Factor</t>
  </si>
  <si>
    <t>Discounted Value</t>
  </si>
  <si>
    <t>EBITDA Multiple</t>
  </si>
  <si>
    <t>NET WORKING CAPITAL WORKSHEET</t>
  </si>
  <si>
    <t>Working Capital Investment</t>
  </si>
  <si>
    <t>Working Capital Percentage</t>
  </si>
  <si>
    <t>Working Capital</t>
  </si>
  <si>
    <t>Prior Year's Working Capital</t>
  </si>
  <si>
    <t>CAPITAL EXPENDITURES WORKSHEET</t>
  </si>
  <si>
    <t>Annual Capital Expenditures</t>
  </si>
  <si>
    <t>Cardiac Catherization Equipment</t>
  </si>
  <si>
    <t>Cosmetic Enhancements</t>
  </si>
  <si>
    <t>Computer/Y2K</t>
  </si>
  <si>
    <t>Linear Accelerator</t>
  </si>
  <si>
    <t>ER Relocation</t>
  </si>
  <si>
    <t>25-Bed SNF Unit</t>
  </si>
  <si>
    <t>Reese Projected Capital Expenditures</t>
  </si>
  <si>
    <t>Final 11/13/98-12/31/98 Projections</t>
  </si>
  <si>
    <t>(Pl. Ex. 115.)</t>
  </si>
  <si>
    <t>Total Capital Expenditures</t>
  </si>
  <si>
    <t>11/13/98-12/31/98 Final Projections</t>
  </si>
  <si>
    <t>1999 Final Projections</t>
  </si>
  <si>
    <t>INCOME TAX WORKSHEET</t>
  </si>
  <si>
    <t>Adjusted Operating Income/EBIT</t>
  </si>
  <si>
    <t>Losses Carried over from Prior Years</t>
  </si>
  <si>
    <t>DCF Analysis</t>
  </si>
  <si>
    <t>Net Working Capital Investment</t>
  </si>
  <si>
    <t>WACC WORKSHEET</t>
  </si>
  <si>
    <t>Risk-Free Rate</t>
  </si>
  <si>
    <t>Size Premium</t>
  </si>
  <si>
    <t>Industry Adjustment</t>
  </si>
  <si>
    <t>Specific Company Adjustment</t>
  </si>
  <si>
    <t>Cost of Equity</t>
  </si>
  <si>
    <t>Percent of Equity</t>
  </si>
  <si>
    <t>Pre-Tax Cost of Debt</t>
  </si>
  <si>
    <t>Income Tax Rate</t>
  </si>
  <si>
    <t>Percent of Debt</t>
  </si>
  <si>
    <t>Market/Equity Risk Premium</t>
  </si>
  <si>
    <t>WACC</t>
  </si>
  <si>
    <t>Terminal Cash Flow</t>
  </si>
  <si>
    <t>Terminal WACC</t>
  </si>
  <si>
    <t>Adjusted Difference</t>
  </si>
  <si>
    <t>Operational Growth</t>
  </si>
  <si>
    <t>Other Taxes (Sales &amp; Use)</t>
  </si>
  <si>
    <t>1998 Annualized Revenue</t>
  </si>
  <si>
    <t>Illinois State Income Tax Rate</t>
  </si>
  <si>
    <t>Federal Income Tax Rate</t>
  </si>
  <si>
    <t>Combined Income Tax Rate</t>
  </si>
  <si>
    <t>After Tax Cost of Debt</t>
  </si>
  <si>
    <t>Debt Portion of WACC</t>
  </si>
  <si>
    <t>Final 1999 Projections</t>
  </si>
  <si>
    <t>Present Value of Projected Net Cash Flow</t>
  </si>
  <si>
    <t>Average Market Return</t>
  </si>
  <si>
    <t>Modified Terminal Cash Flow</t>
  </si>
  <si>
    <t>Total Present Value of Net Cash Flows</t>
  </si>
  <si>
    <t>Long Term Growth</t>
  </si>
  <si>
    <t>Value As If Normally Capitalized</t>
  </si>
  <si>
    <t>Excess Assets</t>
  </si>
  <si>
    <t>Sale of Excess Real Estate</t>
  </si>
  <si>
    <t>Net Working Capital</t>
  </si>
  <si>
    <t>Total Excess Assets</t>
  </si>
  <si>
    <t>Modified Terminal Value</t>
  </si>
  <si>
    <t>Present Value of Modified Terminal Value</t>
  </si>
  <si>
    <t>Terminal Value Discount Factor</t>
  </si>
  <si>
    <t>Terminal Value Discount Period</t>
  </si>
  <si>
    <t>Terminal Value WACC</t>
  </si>
  <si>
    <t>Equity Portion of WACC</t>
  </si>
  <si>
    <t>Reconciled Value</t>
  </si>
  <si>
    <t>Final Value (Income Approach)</t>
  </si>
  <si>
    <t>Final Value (Cost Approach)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</si>
</sst>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3">
    <font>
      <sz val="10"/>
      <name val="Arial"/>
      <family val="0"/>
    </font>
    <font>
      <b/>
      <sz val="10"/>
      <name val="Arial"/>
      <family val="2"/>
    </font>
    <font>
      <u val="single"/>
      <sz val="10"/>
      <name val="Arial"/>
      <family val="0"/>
    </font>
    <font>
      <sz val="10"/>
      <color indexed="10"/>
      <name val="Arial"/>
      <family val="0"/>
    </font>
    <font>
      <sz val="8"/>
      <name val="Tahoma"/>
      <family val="0"/>
    </font>
    <font>
      <i/>
      <sz val="10"/>
      <name val="Arial"/>
      <family val="2"/>
    </font>
    <font>
      <b/>
      <u val="single"/>
      <sz val="10"/>
      <name val="Arial"/>
      <family val="2"/>
    </font>
    <font>
      <sz val="8"/>
      <name val="Arial"/>
      <family val="0"/>
    </font>
    <font>
      <u val="single"/>
      <sz val="8"/>
      <name val="Tahoma"/>
      <family val="2"/>
    </font>
    <font>
      <u val="single"/>
      <sz val="7.5"/>
      <color indexed="12"/>
      <name val="Arial"/>
      <family val="0"/>
    </font>
    <font>
      <u val="single"/>
      <sz val="7.5"/>
      <color indexed="36"/>
      <name val="Arial"/>
      <family val="0"/>
    </font>
    <font>
      <sz val="10"/>
      <color indexed="9"/>
      <name val="Arial"/>
      <family val="0"/>
    </font>
    <font>
      <b/>
      <sz val="8"/>
      <name val="Arial"/>
      <family val="2"/>
    </font>
  </fonts>
  <fills count="1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164"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3" borderId="1" xfId="0" applyFill="1" applyBorder="1" applyAlignment="1">
      <alignment/>
    </xf>
    <xf numFmtId="0" fontId="0" fillId="3" borderId="2" xfId="0" applyFill="1" applyBorder="1" applyAlignment="1">
      <alignment/>
    </xf>
    <xf numFmtId="164" fontId="0" fillId="3" borderId="2" xfId="0" applyNumberFormat="1" applyFill="1" applyBorder="1" applyAlignment="1">
      <alignment/>
    </xf>
    <xf numFmtId="164" fontId="0" fillId="3" borderId="3" xfId="0" applyNumberFormat="1" applyFill="1" applyBorder="1" applyAlignment="1">
      <alignment/>
    </xf>
    <xf numFmtId="0" fontId="0" fillId="3" borderId="1" xfId="0" applyFont="1" applyFill="1" applyBorder="1" applyAlignment="1">
      <alignment/>
    </xf>
    <xf numFmtId="0" fontId="0" fillId="3" borderId="2" xfId="0" applyFont="1" applyFill="1" applyBorder="1" applyAlignment="1">
      <alignment/>
    </xf>
    <xf numFmtId="164" fontId="0" fillId="3" borderId="2" xfId="0" applyNumberFormat="1" applyFont="1" applyFill="1" applyBorder="1" applyAlignment="1">
      <alignment/>
    </xf>
    <xf numFmtId="0" fontId="0" fillId="4" borderId="1" xfId="0" applyFill="1" applyBorder="1" applyAlignment="1">
      <alignment/>
    </xf>
    <xf numFmtId="0" fontId="0" fillId="4" borderId="2" xfId="0" applyFill="1" applyBorder="1" applyAlignment="1">
      <alignment/>
    </xf>
    <xf numFmtId="164" fontId="0" fillId="4" borderId="2" xfId="0" applyNumberFormat="1" applyFill="1" applyBorder="1" applyAlignment="1">
      <alignment/>
    </xf>
    <xf numFmtId="164" fontId="0" fillId="4" borderId="3" xfId="0" applyNumberFormat="1" applyFill="1" applyBorder="1" applyAlignment="1">
      <alignment/>
    </xf>
    <xf numFmtId="0" fontId="2" fillId="5" borderId="1" xfId="0" applyFont="1" applyFill="1" applyBorder="1" applyAlignment="1">
      <alignment/>
    </xf>
    <xf numFmtId="0" fontId="0" fillId="5" borderId="2" xfId="0" applyFill="1" applyBorder="1" applyAlignment="1">
      <alignment/>
    </xf>
    <xf numFmtId="164" fontId="0" fillId="5" borderId="2" xfId="0" applyNumberFormat="1" applyFill="1" applyBorder="1" applyAlignment="1">
      <alignment/>
    </xf>
    <xf numFmtId="164" fontId="0" fillId="5" borderId="3" xfId="0" applyNumberFormat="1" applyFill="1" applyBorder="1" applyAlignment="1">
      <alignment/>
    </xf>
    <xf numFmtId="0" fontId="0" fillId="6" borderId="0" xfId="0" applyFill="1" applyAlignment="1">
      <alignment/>
    </xf>
    <xf numFmtId="0" fontId="2" fillId="6" borderId="0" xfId="0" applyFont="1" applyFill="1" applyBorder="1" applyAlignment="1">
      <alignment/>
    </xf>
    <xf numFmtId="0" fontId="0" fillId="6" borderId="0" xfId="0" applyFill="1" applyBorder="1" applyAlignment="1">
      <alignment/>
    </xf>
    <xf numFmtId="164" fontId="0" fillId="6" borderId="0" xfId="0" applyNumberFormat="1" applyFill="1" applyBorder="1" applyAlignment="1">
      <alignment/>
    </xf>
    <xf numFmtId="0" fontId="0" fillId="4" borderId="1" xfId="0" applyFont="1" applyFill="1" applyBorder="1" applyAlignment="1">
      <alignment/>
    </xf>
    <xf numFmtId="0" fontId="2" fillId="5" borderId="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164" fontId="0" fillId="0" borderId="0" xfId="0" applyNumberFormat="1" applyFill="1" applyBorder="1" applyAlignment="1">
      <alignment/>
    </xf>
    <xf numFmtId="0" fontId="2" fillId="7" borderId="1" xfId="0" applyFont="1" applyFill="1" applyBorder="1" applyAlignment="1">
      <alignment/>
    </xf>
    <xf numFmtId="0" fontId="0" fillId="7" borderId="2" xfId="0" applyFill="1" applyBorder="1" applyAlignment="1">
      <alignment/>
    </xf>
    <xf numFmtId="164" fontId="0" fillId="7" borderId="2" xfId="0" applyNumberFormat="1" applyFill="1" applyBorder="1" applyAlignment="1">
      <alignment/>
    </xf>
    <xf numFmtId="164" fontId="0" fillId="7" borderId="3" xfId="0" applyNumberFormat="1" applyFill="1" applyBorder="1" applyAlignment="1">
      <alignment/>
    </xf>
    <xf numFmtId="0" fontId="0" fillId="0" borderId="0" xfId="0" applyBorder="1" applyAlignment="1">
      <alignment/>
    </xf>
    <xf numFmtId="164" fontId="0" fillId="0" borderId="0" xfId="0" applyNumberFormat="1" applyBorder="1" applyAlignment="1">
      <alignment/>
    </xf>
    <xf numFmtId="164" fontId="3" fillId="0" borderId="0" xfId="0" applyNumberFormat="1" applyFont="1" applyFill="1" applyBorder="1" applyAlignment="1">
      <alignment/>
    </xf>
    <xf numFmtId="0" fontId="2" fillId="0" borderId="0" xfId="0" applyFont="1" applyBorder="1" applyAlignment="1">
      <alignment/>
    </xf>
    <xf numFmtId="164" fontId="0" fillId="0" borderId="0" xfId="0" applyNumberFormat="1" applyFont="1" applyFill="1" applyBorder="1" applyAlignment="1">
      <alignment/>
    </xf>
    <xf numFmtId="0" fontId="2" fillId="0" borderId="0" xfId="0" applyFont="1" applyBorder="1" applyAlignment="1">
      <alignment horizontal="center"/>
    </xf>
    <xf numFmtId="0" fontId="2" fillId="0" borderId="0" xfId="0" applyFont="1" applyBorder="1" applyAlignment="1">
      <alignment/>
    </xf>
    <xf numFmtId="164" fontId="0" fillId="0" borderId="0" xfId="0" applyNumberFormat="1" applyFont="1" applyBorder="1" applyAlignment="1">
      <alignment/>
    </xf>
    <xf numFmtId="0" fontId="0" fillId="8" borderId="1" xfId="0" applyFill="1" applyBorder="1" applyAlignment="1">
      <alignment/>
    </xf>
    <xf numFmtId="0" fontId="0" fillId="8" borderId="2" xfId="0" applyFill="1" applyBorder="1" applyAlignment="1">
      <alignment/>
    </xf>
    <xf numFmtId="164" fontId="0" fillId="8" borderId="2" xfId="0" applyNumberFormat="1" applyFill="1" applyBorder="1" applyAlignment="1">
      <alignment/>
    </xf>
    <xf numFmtId="164" fontId="0" fillId="8" borderId="3" xfId="0" applyNumberFormat="1" applyFill="1" applyBorder="1" applyAlignment="1">
      <alignment/>
    </xf>
    <xf numFmtId="164" fontId="0" fillId="6" borderId="0" xfId="0" applyNumberFormat="1" applyFill="1" applyAlignment="1">
      <alignment/>
    </xf>
    <xf numFmtId="0" fontId="0" fillId="0" borderId="0" xfId="0" applyAlignment="1">
      <alignment horizontal="center"/>
    </xf>
    <xf numFmtId="0" fontId="5"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5" borderId="1" xfId="0" applyFill="1" applyBorder="1" applyAlignment="1">
      <alignment/>
    </xf>
    <xf numFmtId="8" fontId="0" fillId="5" borderId="2" xfId="0" applyNumberFormat="1" applyFill="1" applyBorder="1" applyAlignment="1">
      <alignment/>
    </xf>
    <xf numFmtId="8" fontId="0" fillId="0" borderId="0" xfId="0" applyNumberFormat="1" applyFill="1" applyBorder="1" applyAlignment="1">
      <alignment/>
    </xf>
    <xf numFmtId="8" fontId="0" fillId="4" borderId="2" xfId="0" applyNumberFormat="1" applyFill="1" applyBorder="1" applyAlignment="1">
      <alignment/>
    </xf>
    <xf numFmtId="0" fontId="0" fillId="7" borderId="1" xfId="0" applyFill="1" applyBorder="1" applyAlignment="1">
      <alignment/>
    </xf>
    <xf numFmtId="8" fontId="0" fillId="7" borderId="2" xfId="0" applyNumberFormat="1" applyFill="1" applyBorder="1" applyAlignment="1">
      <alignment/>
    </xf>
    <xf numFmtId="8" fontId="0" fillId="0" borderId="0" xfId="0" applyNumberFormat="1" applyAlignment="1">
      <alignment/>
    </xf>
    <xf numFmtId="8" fontId="0" fillId="5" borderId="3" xfId="0" applyNumberFormat="1" applyFill="1" applyBorder="1" applyAlignment="1">
      <alignment/>
    </xf>
    <xf numFmtId="0" fontId="2" fillId="6" borderId="0" xfId="0" applyFont="1" applyFill="1" applyAlignment="1">
      <alignment/>
    </xf>
    <xf numFmtId="10" fontId="0" fillId="6" borderId="0" xfId="0" applyNumberFormat="1" applyFill="1" applyAlignment="1">
      <alignment/>
    </xf>
    <xf numFmtId="10" fontId="0" fillId="6" borderId="0" xfId="0" applyNumberFormat="1" applyFill="1" applyBorder="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2" fillId="6" borderId="0" xfId="0" applyFont="1" applyFill="1" applyBorder="1" applyAlignment="1">
      <alignment/>
    </xf>
    <xf numFmtId="0" fontId="6" fillId="0" borderId="0" xfId="0" applyFont="1" applyAlignment="1">
      <alignment/>
    </xf>
    <xf numFmtId="10" fontId="0" fillId="7" borderId="2" xfId="0" applyNumberFormat="1" applyFill="1" applyBorder="1" applyAlignment="1">
      <alignment/>
    </xf>
    <xf numFmtId="10" fontId="0" fillId="7" borderId="3" xfId="0" applyNumberFormat="1" applyFill="1" applyBorder="1" applyAlignment="1">
      <alignment/>
    </xf>
    <xf numFmtId="8" fontId="0" fillId="4" borderId="3" xfId="0" applyNumberFormat="1" applyFill="1" applyBorder="1" applyAlignment="1">
      <alignment/>
    </xf>
    <xf numFmtId="0" fontId="0" fillId="4" borderId="1" xfId="0" applyFont="1" applyFill="1" applyBorder="1" applyAlignment="1">
      <alignment/>
    </xf>
    <xf numFmtId="0" fontId="1" fillId="5" borderId="1"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0" fillId="0" borderId="0" xfId="0" applyFill="1" applyBorder="1" applyAlignment="1">
      <alignment horizontal="left"/>
    </xf>
    <xf numFmtId="8" fontId="2" fillId="0" borderId="0" xfId="0" applyNumberFormat="1" applyFont="1" applyAlignment="1">
      <alignment/>
    </xf>
    <xf numFmtId="8" fontId="2" fillId="0" borderId="0" xfId="0" applyNumberFormat="1" applyFont="1" applyFill="1" applyBorder="1" applyAlignment="1">
      <alignment horizontal="center"/>
    </xf>
    <xf numFmtId="8" fontId="0" fillId="5" borderId="1" xfId="0" applyNumberFormat="1" applyFill="1" applyBorder="1" applyAlignment="1">
      <alignment/>
    </xf>
    <xf numFmtId="10" fontId="0" fillId="4" borderId="3" xfId="0" applyNumberFormat="1" applyFill="1" applyBorder="1" applyAlignment="1">
      <alignment/>
    </xf>
    <xf numFmtId="10" fontId="0" fillId="8" borderId="3" xfId="0" applyNumberFormat="1" applyFill="1" applyBorder="1" applyAlignment="1">
      <alignment/>
    </xf>
    <xf numFmtId="10" fontId="0" fillId="5" borderId="3" xfId="0" applyNumberFormat="1" applyFill="1" applyBorder="1" applyAlignment="1">
      <alignment/>
    </xf>
    <xf numFmtId="8" fontId="0" fillId="8" borderId="2" xfId="0" applyNumberFormat="1" applyFill="1" applyBorder="1" applyAlignment="1">
      <alignment/>
    </xf>
    <xf numFmtId="8" fontId="0" fillId="8" borderId="3" xfId="0" applyNumberFormat="1" applyFill="1" applyBorder="1" applyAlignment="1">
      <alignment/>
    </xf>
    <xf numFmtId="10" fontId="0" fillId="8" borderId="2" xfId="0" applyNumberFormat="1" applyFill="1" applyBorder="1" applyAlignment="1">
      <alignment/>
    </xf>
    <xf numFmtId="10" fontId="0" fillId="4" borderId="2" xfId="0" applyNumberFormat="1" applyFill="1" applyBorder="1" applyAlignment="1">
      <alignment/>
    </xf>
    <xf numFmtId="10" fontId="0" fillId="5" borderId="2" xfId="0" applyNumberFormat="1" applyFill="1" applyBorder="1" applyAlignment="1">
      <alignment/>
    </xf>
    <xf numFmtId="8" fontId="2" fillId="0" borderId="0" xfId="0" applyNumberFormat="1" applyFont="1" applyAlignment="1">
      <alignment horizontal="center"/>
    </xf>
    <xf numFmtId="10" fontId="0" fillId="3" borderId="2" xfId="0" applyNumberFormat="1" applyFill="1" applyBorder="1" applyAlignment="1">
      <alignment/>
    </xf>
    <xf numFmtId="10" fontId="0" fillId="3" borderId="3" xfId="0" applyNumberFormat="1" applyFill="1" applyBorder="1" applyAlignment="1">
      <alignment/>
    </xf>
    <xf numFmtId="8" fontId="0" fillId="3" borderId="3" xfId="0" applyNumberFormat="1" applyFill="1" applyBorder="1" applyAlignment="1">
      <alignment/>
    </xf>
    <xf numFmtId="10" fontId="0" fillId="0" borderId="0" xfId="0" applyNumberFormat="1" applyFill="1" applyBorder="1" applyAlignment="1">
      <alignment/>
    </xf>
    <xf numFmtId="8" fontId="0" fillId="2" borderId="3" xfId="0" applyNumberFormat="1" applyFill="1" applyBorder="1" applyAlignment="1">
      <alignment/>
    </xf>
    <xf numFmtId="40" fontId="0" fillId="3" borderId="3" xfId="0" applyNumberFormat="1" applyFill="1" applyBorder="1" applyAlignment="1">
      <alignment/>
    </xf>
    <xf numFmtId="0" fontId="11" fillId="0" borderId="0" xfId="0" applyFont="1" applyFill="1" applyBorder="1" applyAlignment="1">
      <alignment/>
    </xf>
    <xf numFmtId="10" fontId="0" fillId="0" borderId="0" xfId="0" applyNumberFormat="1" applyFont="1" applyFill="1" applyBorder="1" applyAlignment="1">
      <alignment/>
    </xf>
    <xf numFmtId="2" fontId="0" fillId="0" borderId="0" xfId="0" applyNumberFormat="1" applyAlignment="1">
      <alignment/>
    </xf>
    <xf numFmtId="0" fontId="0" fillId="9" borderId="1" xfId="0" applyFill="1" applyBorder="1" applyAlignment="1">
      <alignment/>
    </xf>
    <xf numFmtId="0" fontId="0" fillId="9" borderId="2" xfId="0" applyFill="1" applyBorder="1" applyAlignment="1">
      <alignment/>
    </xf>
    <xf numFmtId="164" fontId="1" fillId="9" borderId="3"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Spreadsheets\Alberts%20v.%20Tuft_revenue_summ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pense%20Spreadsheets\Alberts%20v.%20Tuft_expenses_fix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xpense%20Spreadsheets\Alberts%20v.%20Tuft_expenses_vari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xpense%20Spreadsheets\Alberts%20v.%20Tuft_expenses_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enue Summary"/>
      <sheetName val="MedSurg (Inpatient) Summary"/>
      <sheetName val="Psych Summary"/>
      <sheetName val="Rehab Summary"/>
      <sheetName val="Outpatient Summary"/>
    </sheetNames>
    <sheetDataSet>
      <sheetData sheetId="0">
        <row r="68">
          <cell r="E68">
            <v>162587960.4549948</v>
          </cell>
          <cell r="G68">
            <v>181038031.12359938</v>
          </cell>
          <cell r="I68">
            <v>202703867.01515603</v>
          </cell>
          <cell r="K68">
            <v>214608759.3621747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xed Expenses Summary"/>
      <sheetName val="Repairs &amp; Maintenance"/>
      <sheetName val="Rents &amp; Leases"/>
      <sheetName val="Utilities"/>
      <sheetName val="Marketing Expense"/>
      <sheetName val="Other Taxes (Real Estate)"/>
      <sheetName val="Insurance"/>
      <sheetName val="Other Operating Expenses"/>
    </sheetNames>
    <sheetDataSet>
      <sheetData sheetId="0">
        <row r="18">
          <cell r="D18">
            <v>698672.941150685</v>
          </cell>
          <cell r="F18">
            <v>4830090.24</v>
          </cell>
          <cell r="H18">
            <v>4974992.9472</v>
          </cell>
          <cell r="J18">
            <v>5124242.735616</v>
          </cell>
          <cell r="L18">
            <v>5277970.01768448</v>
          </cell>
        </row>
        <row r="19">
          <cell r="D19">
            <v>400391.09293150686</v>
          </cell>
          <cell r="F19">
            <v>3071979.12</v>
          </cell>
          <cell r="H19">
            <v>3164138.4936</v>
          </cell>
          <cell r="J19">
            <v>3259062.6484080004</v>
          </cell>
          <cell r="L19">
            <v>3356834.5278602405</v>
          </cell>
        </row>
        <row r="20">
          <cell r="D20">
            <v>649887.297859589</v>
          </cell>
          <cell r="F20">
            <v>5382047.5464</v>
          </cell>
          <cell r="H20">
            <v>5543508.9727920005</v>
          </cell>
          <cell r="J20">
            <v>5709814.241975761</v>
          </cell>
          <cell r="L20">
            <v>5881108.669235034</v>
          </cell>
        </row>
        <row r="21">
          <cell r="D21">
            <v>33483.333333333336</v>
          </cell>
          <cell r="F21">
            <v>256899.1666666667</v>
          </cell>
          <cell r="H21">
            <v>264606.1416666667</v>
          </cell>
          <cell r="J21">
            <v>272544.3259166667</v>
          </cell>
          <cell r="L21">
            <v>280720.6556941667</v>
          </cell>
        </row>
        <row r="22">
          <cell r="D22">
            <v>0</v>
          </cell>
          <cell r="F22">
            <v>1442000</v>
          </cell>
          <cell r="H22">
            <v>831725</v>
          </cell>
          <cell r="J22">
            <v>178190</v>
          </cell>
          <cell r="L22">
            <v>183535.7</v>
          </cell>
        </row>
        <row r="23">
          <cell r="D23">
            <v>193229.0271780822</v>
          </cell>
          <cell r="F23">
            <v>1482539.8524000002</v>
          </cell>
          <cell r="H23">
            <v>1527016.0479720002</v>
          </cell>
          <cell r="J23">
            <v>1572826.5294111602</v>
          </cell>
          <cell r="L23">
            <v>1620011.325293495</v>
          </cell>
        </row>
        <row r="24">
          <cell r="D24">
            <v>1147723.292763158</v>
          </cell>
          <cell r="F24">
            <v>4202400</v>
          </cell>
          <cell r="H24">
            <v>4397255.4</v>
          </cell>
          <cell r="J24">
            <v>4602083.466000001</v>
          </cell>
          <cell r="L24">
            <v>4817430.998220001</v>
          </cell>
        </row>
        <row r="25">
          <cell r="D25">
            <v>3194800</v>
          </cell>
          <cell r="F25">
            <v>9083000</v>
          </cell>
          <cell r="H25">
            <v>10652000</v>
          </cell>
          <cell r="J25">
            <v>11120000</v>
          </cell>
          <cell r="L25">
            <v>11586000</v>
          </cell>
        </row>
        <row r="26">
          <cell r="D26">
            <v>566960.6283842592</v>
          </cell>
          <cell r="F26">
            <v>4276492.5</v>
          </cell>
          <cell r="H26">
            <v>4567270.481690662</v>
          </cell>
          <cell r="J26">
            <v>4871957.722611567</v>
          </cell>
          <cell r="L26">
            <v>4950447.210294567</v>
          </cell>
        </row>
      </sheetData>
      <sheetData sheetId="1">
        <row r="7">
          <cell r="D7">
            <v>3279588</v>
          </cell>
          <cell r="F7">
            <v>4552824</v>
          </cell>
          <cell r="H7">
            <v>5204400.48</v>
          </cell>
          <cell r="J7">
            <v>4830090.24</v>
          </cell>
        </row>
      </sheetData>
      <sheetData sheetId="2">
        <row r="7">
          <cell r="D7">
            <v>2631672</v>
          </cell>
          <cell r="F7">
            <v>2922744</v>
          </cell>
          <cell r="H7">
            <v>2982505.08</v>
          </cell>
          <cell r="J7">
            <v>3071979.12</v>
          </cell>
        </row>
      </sheetData>
      <sheetData sheetId="3">
        <row r="7">
          <cell r="D7">
            <v>5080008</v>
          </cell>
          <cell r="F7">
            <v>5201916</v>
          </cell>
          <cell r="H7">
            <v>5225288.88</v>
          </cell>
          <cell r="J7">
            <v>5382050.760000001</v>
          </cell>
        </row>
      </sheetData>
      <sheetData sheetId="4">
        <row r="7">
          <cell r="D7">
            <v>0</v>
          </cell>
          <cell r="F7">
            <v>0</v>
          </cell>
          <cell r="H7">
            <v>1380204.12</v>
          </cell>
          <cell r="J7">
            <v>1421610.12</v>
          </cell>
        </row>
      </sheetData>
      <sheetData sheetId="5">
        <row r="7">
          <cell r="D7">
            <v>1325064</v>
          </cell>
          <cell r="F7">
            <v>1393848</v>
          </cell>
          <cell r="H7">
            <v>1439359.08</v>
          </cell>
          <cell r="J7">
            <v>1482544.92</v>
          </cell>
        </row>
      </sheetData>
      <sheetData sheetId="6">
        <row r="17">
          <cell r="E17">
            <v>9084276</v>
          </cell>
          <cell r="G17">
            <v>8470956</v>
          </cell>
          <cell r="I17">
            <v>4017000</v>
          </cell>
          <cell r="K17">
            <v>4202400</v>
          </cell>
        </row>
      </sheetData>
      <sheetData sheetId="7">
        <row r="16">
          <cell r="E16">
            <v>3073361.94</v>
          </cell>
          <cell r="G16">
            <v>5588075.46</v>
          </cell>
          <cell r="I16">
            <v>4340009.86</v>
          </cell>
          <cell r="K16">
            <v>4544180.58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riable Expenses Summary"/>
      <sheetName val="Salaries &amp; Wages"/>
      <sheetName val="Contract Labor"/>
      <sheetName val="Employee Benefits"/>
      <sheetName val="Professional Fees"/>
      <sheetName val="Supplies &amp; Other"/>
      <sheetName val="Other Taxes (Sale &amp; Use)"/>
      <sheetName val="Contract Services"/>
      <sheetName val="Bad Debts"/>
    </sheetNames>
    <sheetDataSet>
      <sheetData sheetId="1">
        <row r="19">
          <cell r="E19">
            <v>68862435.2</v>
          </cell>
          <cell r="G19">
            <v>61784985.6</v>
          </cell>
          <cell r="I19">
            <v>63903990.400000006</v>
          </cell>
          <cell r="K19">
            <v>66176937.599999994</v>
          </cell>
        </row>
      </sheetData>
      <sheetData sheetId="2">
        <row r="7">
          <cell r="E7">
            <v>1105362</v>
          </cell>
          <cell r="G7">
            <v>3371562</v>
          </cell>
          <cell r="I7">
            <v>3474000</v>
          </cell>
          <cell r="K7">
            <v>3543000</v>
          </cell>
        </row>
      </sheetData>
      <sheetData sheetId="3">
        <row r="6">
          <cell r="D6">
            <v>14743447.37632</v>
          </cell>
          <cell r="F6">
            <v>12981025.47456</v>
          </cell>
          <cell r="H6">
            <v>12730798.080000002</v>
          </cell>
          <cell r="J6">
            <v>13111787.52</v>
          </cell>
        </row>
      </sheetData>
      <sheetData sheetId="4">
        <row r="16">
          <cell r="E16">
            <v>32273516</v>
          </cell>
          <cell r="G16">
            <v>12567533.19</v>
          </cell>
          <cell r="I16">
            <v>12649632.610000001</v>
          </cell>
          <cell r="K16">
            <v>13897813.92</v>
          </cell>
        </row>
      </sheetData>
      <sheetData sheetId="5">
        <row r="16">
          <cell r="E16">
            <v>23365490.94</v>
          </cell>
          <cell r="G16">
            <v>22116646.59</v>
          </cell>
          <cell r="I16">
            <v>25090340.450000003</v>
          </cell>
          <cell r="K16">
            <v>26623627.29</v>
          </cell>
        </row>
      </sheetData>
      <sheetData sheetId="6">
        <row r="24">
          <cell r="E24">
            <v>4679568</v>
          </cell>
          <cell r="G24">
            <v>1924032</v>
          </cell>
          <cell r="I24">
            <v>888795.24</v>
          </cell>
          <cell r="K24">
            <v>915455.76</v>
          </cell>
        </row>
      </sheetData>
      <sheetData sheetId="7">
        <row r="22">
          <cell r="E22">
            <v>20796649.74</v>
          </cell>
          <cell r="G22">
            <v>16776827.19</v>
          </cell>
          <cell r="I22">
            <v>22549959.77</v>
          </cell>
          <cell r="K22">
            <v>23026166.91</v>
          </cell>
        </row>
      </sheetData>
      <sheetData sheetId="8">
        <row r="6">
          <cell r="E6">
            <v>7823894.5</v>
          </cell>
          <cell r="G6">
            <v>6453402.2</v>
          </cell>
          <cell r="I6">
            <v>6235315.5072</v>
          </cell>
          <cell r="K6">
            <v>7925813.205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Expenses Summary"/>
      <sheetName val="Fixed Expenses Summary"/>
      <sheetName val="Variable Expenses Summary"/>
    </sheetNames>
    <sheetDataSet>
      <sheetData sheetId="2">
        <row r="19">
          <cell r="D19">
            <v>8704816.438356165</v>
          </cell>
          <cell r="F19">
            <v>66176937.599999994</v>
          </cell>
          <cell r="H19">
            <v>68162245.728</v>
          </cell>
          <cell r="J19">
            <v>71567842.03318495</v>
          </cell>
          <cell r="L19">
            <v>75771054.66775101</v>
          </cell>
        </row>
        <row r="20">
          <cell r="D20">
            <v>597047.6841511986</v>
          </cell>
          <cell r="F20">
            <v>2965946.750825331</v>
          </cell>
          <cell r="H20">
            <v>3302514.8890743665</v>
          </cell>
          <cell r="J20">
            <v>3697745.3562421044</v>
          </cell>
          <cell r="L20">
            <v>3914915.660099499</v>
          </cell>
        </row>
        <row r="21">
          <cell r="D21">
            <v>1784922.6106849315</v>
          </cell>
          <cell r="F21">
            <v>13235387.52</v>
          </cell>
          <cell r="H21">
            <v>13632449.1456</v>
          </cell>
          <cell r="J21">
            <v>14313568.40663699</v>
          </cell>
          <cell r="L21">
            <v>15154210.933550203</v>
          </cell>
        </row>
        <row r="22">
          <cell r="D22">
            <v>1682837.2517224175</v>
          </cell>
          <cell r="F22">
            <v>12140339.999999998</v>
          </cell>
          <cell r="H22">
            <v>13970585.957830844</v>
          </cell>
          <cell r="J22">
            <v>15981141.899912111</v>
          </cell>
          <cell r="L22">
            <v>17593340.683444902</v>
          </cell>
        </row>
        <row r="23">
          <cell r="D23">
            <v>2742195.973873277</v>
          </cell>
          <cell r="F23">
            <v>23798567.97</v>
          </cell>
          <cell r="H23">
            <v>26227299.523545854</v>
          </cell>
          <cell r="J23">
            <v>28783622.88318944</v>
          </cell>
          <cell r="L23">
            <v>30599332.496606782</v>
          </cell>
        </row>
        <row r="24">
          <cell r="D24">
            <v>119317.71715068493</v>
          </cell>
          <cell r="F24">
            <v>915455.76</v>
          </cell>
          <cell r="H24">
            <v>942919.4328000001</v>
          </cell>
          <cell r="J24">
            <v>971207.0157840002</v>
          </cell>
          <cell r="L24">
            <v>976033.8094884001</v>
          </cell>
        </row>
        <row r="25">
          <cell r="D25">
            <v>3046059.8341439716</v>
          </cell>
          <cell r="F25">
            <v>20594805.75</v>
          </cell>
          <cell r="H25">
            <v>22640133.188292094</v>
          </cell>
          <cell r="J25">
            <v>24715409.645497903</v>
          </cell>
          <cell r="L25">
            <v>26221712.32068276</v>
          </cell>
        </row>
        <row r="26">
          <cell r="D26">
            <v>1306567.7675536256</v>
          </cell>
          <cell r="F26">
            <v>5749399.459404</v>
          </cell>
          <cell r="H26">
            <v>6401826.773401849</v>
          </cell>
          <cell r="J26">
            <v>7167969.26521896</v>
          </cell>
          <cell r="L26">
            <v>7588947.432560927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3"/>
  <sheetViews>
    <sheetView tabSelected="1" workbookViewId="0" topLeftCell="A52">
      <selection activeCell="F77" sqref="F77"/>
    </sheetView>
  </sheetViews>
  <sheetFormatPr defaultColWidth="9.140625" defaultRowHeight="12.75"/>
  <cols>
    <col min="1" max="2" width="24.7109375" style="0" bestFit="1" customWidth="1"/>
    <col min="3" max="3" width="36.7109375" style="0" bestFit="1" customWidth="1"/>
    <col min="4" max="4" width="33.8515625" style="0" bestFit="1" customWidth="1"/>
    <col min="6" max="6" width="16.00390625" style="0" bestFit="1" customWidth="1"/>
    <col min="8" max="8" width="15.421875" style="0" bestFit="1" customWidth="1"/>
    <col min="10" max="10" width="15.421875" style="0" bestFit="1" customWidth="1"/>
    <col min="12" max="12" width="15.421875" style="0" bestFit="1" customWidth="1"/>
    <col min="14" max="14" width="15.421875" style="0" bestFit="1" customWidth="1"/>
    <col min="16" max="16" width="16.28125" style="0" bestFit="1" customWidth="1"/>
  </cols>
  <sheetData>
    <row r="1" spans="1:16" ht="12.75">
      <c r="A1" s="1" t="s">
        <v>79</v>
      </c>
      <c r="B1" s="52"/>
      <c r="C1" s="1" t="s">
        <v>79</v>
      </c>
      <c r="F1" s="2" t="s">
        <v>55</v>
      </c>
      <c r="H1" s="2">
        <v>1999</v>
      </c>
      <c r="J1" s="2">
        <v>2000</v>
      </c>
      <c r="L1" s="2">
        <v>2001</v>
      </c>
      <c r="M1" s="2"/>
      <c r="N1" s="2">
        <v>2002</v>
      </c>
      <c r="P1" s="2" t="s">
        <v>150</v>
      </c>
    </row>
    <row r="2" ht="12.75">
      <c r="B2" s="52"/>
    </row>
    <row r="3" ht="12.75">
      <c r="B3" s="1" t="s">
        <v>5</v>
      </c>
    </row>
    <row r="4" spans="3:14" ht="12.75">
      <c r="C4" t="s">
        <v>50</v>
      </c>
      <c r="D4" s="4"/>
      <c r="F4" s="61">
        <f>'Total Net Revenue'!$E$14</f>
        <v>20005551.26464041</v>
      </c>
      <c r="H4" s="61">
        <f>'Total Net Revenue'!$E$24</f>
        <v>162587960.4549948</v>
      </c>
      <c r="J4" s="61">
        <f>'Total Net Revenue'!$E$37</f>
        <v>181038031.12359938</v>
      </c>
      <c r="L4" s="61">
        <f>'Total Net Revenue'!$E$45</f>
        <v>202703867.01515603</v>
      </c>
      <c r="N4" s="61">
        <f>'Total Net Revenue'!$E$52</f>
        <v>214608759.3621747</v>
      </c>
    </row>
    <row r="5" spans="3:14" ht="12.75">
      <c r="C5" t="s">
        <v>80</v>
      </c>
      <c r="D5" s="4"/>
      <c r="F5" s="61">
        <f>'Total Net Revenue'!$G$14</f>
        <v>1037069.0427631579</v>
      </c>
      <c r="H5" s="61">
        <f>'Total Net Revenue'!$G$24</f>
        <v>8580737.423245614</v>
      </c>
      <c r="J5" s="61">
        <f>'Total Net Revenue'!$G$37</f>
        <v>10292000</v>
      </c>
      <c r="L5" s="61">
        <f>'Total Net Revenue'!$G$45</f>
        <v>11335472.626232106</v>
      </c>
      <c r="N5" s="61">
        <f>'Total Net Revenue'!$G$52</f>
        <v>11833039.26186081</v>
      </c>
    </row>
    <row r="6" spans="4:14" ht="13.5" thickBot="1">
      <c r="D6" s="4"/>
      <c r="F6" s="61"/>
      <c r="H6" s="61"/>
      <c r="J6" s="61"/>
      <c r="L6" s="61"/>
      <c r="N6" s="61"/>
    </row>
    <row r="7" spans="3:16" ht="13.5" thickBot="1">
      <c r="C7" s="74" t="s">
        <v>22</v>
      </c>
      <c r="D7" s="18"/>
      <c r="E7" s="18"/>
      <c r="F7" s="58">
        <f>F4+F5</f>
        <v>21042620.30740357</v>
      </c>
      <c r="G7" s="18"/>
      <c r="H7" s="58">
        <f>H4+H5</f>
        <v>171168697.8782404</v>
      </c>
      <c r="I7" s="18"/>
      <c r="J7" s="58">
        <f>J4+J5</f>
        <v>191330031.12359938</v>
      </c>
      <c r="K7" s="18"/>
      <c r="L7" s="58">
        <f>L4+L5</f>
        <v>214039339.64138815</v>
      </c>
      <c r="M7" s="18"/>
      <c r="N7" s="58">
        <f>N4+N5</f>
        <v>226441798.6240355</v>
      </c>
      <c r="O7" s="18"/>
      <c r="P7" s="82">
        <f>(N7/L7)-1</f>
        <v>0.05794476381503988</v>
      </c>
    </row>
    <row r="9" spans="2:16" ht="12.75">
      <c r="B9" s="1" t="s">
        <v>81</v>
      </c>
      <c r="P9" s="54"/>
    </row>
    <row r="10" ht="12.75">
      <c r="C10" t="s">
        <v>82</v>
      </c>
    </row>
    <row r="11" spans="3:14" ht="12.75">
      <c r="C11" s="4"/>
      <c r="D11" t="s">
        <v>29</v>
      </c>
      <c r="F11" s="4">
        <f>'Fixed Expenses'!D18</f>
        <v>698672.941150685</v>
      </c>
      <c r="G11" s="4"/>
      <c r="H11" s="4">
        <f>'Fixed Expenses'!F18</f>
        <v>4830090.24</v>
      </c>
      <c r="I11" s="4"/>
      <c r="J11" s="4">
        <f>'Fixed Expenses'!H18</f>
        <v>4974992.9472</v>
      </c>
      <c r="K11" s="4"/>
      <c r="L11" s="4">
        <f>'Fixed Expenses'!J18</f>
        <v>5124242.735616</v>
      </c>
      <c r="M11" s="4"/>
      <c r="N11" s="4">
        <f>'Fixed Expenses'!L18</f>
        <v>5277970.01768448</v>
      </c>
    </row>
    <row r="12" spans="3:14" ht="12.75">
      <c r="C12" s="4"/>
      <c r="D12" t="s">
        <v>30</v>
      </c>
      <c r="F12" s="4">
        <f>'Fixed Expenses'!D19</f>
        <v>400391.09293150686</v>
      </c>
      <c r="G12" s="4"/>
      <c r="H12" s="4">
        <f>'Fixed Expenses'!F19</f>
        <v>3071979.12</v>
      </c>
      <c r="I12" s="4"/>
      <c r="J12" s="4">
        <f>'Fixed Expenses'!H19</f>
        <v>3164138.4936</v>
      </c>
      <c r="K12" s="4"/>
      <c r="L12" s="4">
        <f>'Fixed Expenses'!J19</f>
        <v>3259062.6484080004</v>
      </c>
      <c r="M12" s="4"/>
      <c r="N12" s="4">
        <f>'Fixed Expenses'!L19</f>
        <v>3356834.5278602405</v>
      </c>
    </row>
    <row r="13" spans="3:14" ht="12.75">
      <c r="C13" s="4"/>
      <c r="D13" t="s">
        <v>31</v>
      </c>
      <c r="F13" s="4">
        <f>'Fixed Expenses'!D20</f>
        <v>649887.297859589</v>
      </c>
      <c r="G13" s="4"/>
      <c r="H13" s="4">
        <f>'Fixed Expenses'!F20</f>
        <v>5382047.5464</v>
      </c>
      <c r="I13" s="4"/>
      <c r="J13" s="4">
        <f>'Fixed Expenses'!H20</f>
        <v>5543508.9727920005</v>
      </c>
      <c r="K13" s="4"/>
      <c r="L13" s="4">
        <f>'Fixed Expenses'!J20</f>
        <v>5709814.241975761</v>
      </c>
      <c r="M13" s="4"/>
      <c r="N13" s="4">
        <f>'Fixed Expenses'!L20</f>
        <v>5881108.669235034</v>
      </c>
    </row>
    <row r="14" spans="3:14" ht="12.75">
      <c r="C14" s="4"/>
      <c r="D14" t="s">
        <v>32</v>
      </c>
      <c r="F14" s="4">
        <f>'Fixed Expenses'!D21</f>
        <v>33483.333333333336</v>
      </c>
      <c r="G14" s="4"/>
      <c r="H14" s="4">
        <f>'Fixed Expenses'!F21</f>
        <v>256899.1666666667</v>
      </c>
      <c r="I14" s="4"/>
      <c r="J14" s="4">
        <f>'Fixed Expenses'!H21</f>
        <v>264606.1416666667</v>
      </c>
      <c r="K14" s="4"/>
      <c r="L14" s="4">
        <f>'Fixed Expenses'!J21</f>
        <v>272544.3259166667</v>
      </c>
      <c r="M14" s="4"/>
      <c r="N14" s="4">
        <f>'Fixed Expenses'!L21</f>
        <v>280720.6556941667</v>
      </c>
    </row>
    <row r="15" spans="3:14" ht="12.75">
      <c r="C15" s="4"/>
      <c r="D15" t="s">
        <v>33</v>
      </c>
      <c r="F15" s="4">
        <f>'Fixed Expenses'!D22</f>
        <v>0</v>
      </c>
      <c r="G15" s="4"/>
      <c r="H15" s="4">
        <f>'Fixed Expenses'!F22</f>
        <v>1442000</v>
      </c>
      <c r="I15" s="4"/>
      <c r="J15" s="4">
        <f>'Fixed Expenses'!H22</f>
        <v>831725</v>
      </c>
      <c r="K15" s="4"/>
      <c r="L15" s="4">
        <f>'Fixed Expenses'!J22</f>
        <v>178190</v>
      </c>
      <c r="M15" s="4"/>
      <c r="N15" s="4">
        <f>'Fixed Expenses'!L22</f>
        <v>183535.7</v>
      </c>
    </row>
    <row r="16" spans="3:14" ht="12.75">
      <c r="C16" s="4"/>
      <c r="D16" t="s">
        <v>34</v>
      </c>
      <c r="F16" s="4">
        <f>'Fixed Expenses'!D23</f>
        <v>193229.0271780822</v>
      </c>
      <c r="G16" s="4"/>
      <c r="H16" s="4">
        <f>'Fixed Expenses'!F23</f>
        <v>1482539.8524000002</v>
      </c>
      <c r="I16" s="4"/>
      <c r="J16" s="4">
        <f>'Fixed Expenses'!H23</f>
        <v>1527016.0479720002</v>
      </c>
      <c r="K16" s="4"/>
      <c r="L16" s="4">
        <f>'Fixed Expenses'!J23</f>
        <v>1572826.5294111602</v>
      </c>
      <c r="M16" s="4"/>
      <c r="N16" s="4">
        <f>'Fixed Expenses'!L23</f>
        <v>1620011.325293495</v>
      </c>
    </row>
    <row r="17" spans="3:14" ht="12.75">
      <c r="C17" s="4"/>
      <c r="D17" t="s">
        <v>35</v>
      </c>
      <c r="F17" s="4">
        <f>'Fixed Expenses'!D24</f>
        <v>1147723.292763158</v>
      </c>
      <c r="G17" s="4"/>
      <c r="H17" s="4">
        <f>'Fixed Expenses'!F24</f>
        <v>4202400</v>
      </c>
      <c r="I17" s="4"/>
      <c r="J17" s="4">
        <f>'Fixed Expenses'!H24</f>
        <v>4397255.4</v>
      </c>
      <c r="K17" s="4"/>
      <c r="L17" s="4">
        <f>'Fixed Expenses'!J24</f>
        <v>4602083.466000001</v>
      </c>
      <c r="M17" s="4"/>
      <c r="N17" s="4">
        <f>'Fixed Expenses'!L24</f>
        <v>4817430.998220001</v>
      </c>
    </row>
    <row r="18" spans="3:14" ht="12.75">
      <c r="C18" s="4"/>
      <c r="D18" t="s">
        <v>36</v>
      </c>
      <c r="F18" s="4">
        <f>'Fixed Expenses'!D25</f>
        <v>3194800</v>
      </c>
      <c r="G18" s="4"/>
      <c r="H18" s="4">
        <f>'Fixed Expenses'!F25</f>
        <v>9083000</v>
      </c>
      <c r="I18" s="4"/>
      <c r="J18" s="4">
        <f>'Fixed Expenses'!H25</f>
        <v>10652000</v>
      </c>
      <c r="K18" s="4"/>
      <c r="L18" s="4">
        <f>'Fixed Expenses'!J25</f>
        <v>11120000</v>
      </c>
      <c r="M18" s="4"/>
      <c r="N18" s="4">
        <f>'Fixed Expenses'!L25</f>
        <v>11586000</v>
      </c>
    </row>
    <row r="19" spans="3:14" ht="12.75">
      <c r="C19" s="4"/>
      <c r="D19" t="s">
        <v>37</v>
      </c>
      <c r="F19" s="4">
        <f>'Fixed Expenses'!D26</f>
        <v>566960.6283842592</v>
      </c>
      <c r="G19" s="4"/>
      <c r="H19" s="4">
        <f>'Fixed Expenses'!F26</f>
        <v>4276492.5</v>
      </c>
      <c r="I19" s="4"/>
      <c r="J19" s="4">
        <f>'Fixed Expenses'!H26</f>
        <v>4567270.481690662</v>
      </c>
      <c r="K19" s="4"/>
      <c r="L19" s="4">
        <f>'Fixed Expenses'!J26</f>
        <v>4871957.722611567</v>
      </c>
      <c r="M19" s="4"/>
      <c r="N19" s="4">
        <f>'Fixed Expenses'!L26</f>
        <v>4950447.210294567</v>
      </c>
    </row>
    <row r="20" spans="3:14" ht="13.5" thickBot="1">
      <c r="C20" s="4"/>
      <c r="F20" s="4"/>
      <c r="G20" s="4"/>
      <c r="H20" s="4"/>
      <c r="I20" s="4"/>
      <c r="J20" s="4"/>
      <c r="K20" s="4"/>
      <c r="L20" s="4"/>
      <c r="M20" s="4"/>
      <c r="N20" s="4"/>
    </row>
    <row r="21" spans="2:14" ht="13.5" thickBot="1">
      <c r="B21" s="7"/>
      <c r="C21" s="7"/>
      <c r="D21" s="46" t="s">
        <v>83</v>
      </c>
      <c r="E21" s="47"/>
      <c r="F21" s="48">
        <f>SUM(F11:F19)</f>
        <v>6885147.613600614</v>
      </c>
      <c r="G21" s="47"/>
      <c r="H21" s="48">
        <f>SUM(H11:H19)</f>
        <v>34027448.42546667</v>
      </c>
      <c r="I21" s="47"/>
      <c r="J21" s="48">
        <f>SUM(J11:J19)</f>
        <v>35922513.48492133</v>
      </c>
      <c r="K21" s="47"/>
      <c r="L21" s="48">
        <f>SUM(L11:L19)</f>
        <v>36710721.66993915</v>
      </c>
      <c r="M21" s="47"/>
      <c r="N21" s="49">
        <f>SUM(N11:N19)</f>
        <v>37954059.104281984</v>
      </c>
    </row>
    <row r="23" ht="12.75">
      <c r="C23" t="s">
        <v>84</v>
      </c>
    </row>
    <row r="24" spans="3:14" ht="12.75">
      <c r="C24" s="4"/>
      <c r="D24" t="s">
        <v>40</v>
      </c>
      <c r="F24" s="4">
        <f>'Variable Expenses'!D19</f>
        <v>8704816.438356165</v>
      </c>
      <c r="G24" s="4"/>
      <c r="H24" s="4">
        <f>'Variable Expenses'!F19</f>
        <v>66176937.599999994</v>
      </c>
      <c r="I24" s="4"/>
      <c r="J24" s="4">
        <f>'Variable Expenses'!H19</f>
        <v>68162245.728</v>
      </c>
      <c r="K24" s="4"/>
      <c r="L24" s="4">
        <f>'Variable Expenses'!J19</f>
        <v>71567842.03318495</v>
      </c>
      <c r="M24" s="4"/>
      <c r="N24" s="4">
        <f>'Variable Expenses'!L19</f>
        <v>75771054.66775101</v>
      </c>
    </row>
    <row r="25" spans="3:14" ht="12.75">
      <c r="C25" s="4"/>
      <c r="D25" t="s">
        <v>41</v>
      </c>
      <c r="F25" s="4">
        <f>'Variable Expenses'!D20</f>
        <v>597047.6841511986</v>
      </c>
      <c r="G25" s="4"/>
      <c r="H25" s="4">
        <f>'Variable Expenses'!F20</f>
        <v>2965946.750825331</v>
      </c>
      <c r="I25" s="4"/>
      <c r="J25" s="4">
        <f>'Variable Expenses'!H20</f>
        <v>3302514.8890743665</v>
      </c>
      <c r="K25" s="4"/>
      <c r="L25" s="4">
        <f>'Variable Expenses'!J20</f>
        <v>3697745.3562421044</v>
      </c>
      <c r="M25" s="4"/>
      <c r="N25" s="4">
        <f>'Variable Expenses'!L20</f>
        <v>3914915.660099499</v>
      </c>
    </row>
    <row r="26" spans="3:14" ht="12.75">
      <c r="C26" s="4"/>
      <c r="D26" t="s">
        <v>42</v>
      </c>
      <c r="F26" s="4">
        <f>'Variable Expenses'!D21</f>
        <v>1784922.6106849315</v>
      </c>
      <c r="G26" s="4"/>
      <c r="H26" s="4">
        <f>'Variable Expenses'!F21</f>
        <v>13235387.52</v>
      </c>
      <c r="I26" s="4"/>
      <c r="J26" s="4">
        <f>'Variable Expenses'!H21</f>
        <v>13632449.1456</v>
      </c>
      <c r="K26" s="4"/>
      <c r="L26" s="4">
        <f>'Variable Expenses'!J21</f>
        <v>14313568.40663699</v>
      </c>
      <c r="M26" s="4"/>
      <c r="N26" s="4">
        <f>'Variable Expenses'!L21</f>
        <v>15154210.933550203</v>
      </c>
    </row>
    <row r="27" spans="3:14" ht="12.75">
      <c r="C27" s="4"/>
      <c r="D27" t="s">
        <v>43</v>
      </c>
      <c r="F27" s="4">
        <f>'Variable Expenses'!D22</f>
        <v>1682837.2517224175</v>
      </c>
      <c r="G27" s="4"/>
      <c r="H27" s="4">
        <f>'Variable Expenses'!F22</f>
        <v>12140339.999999998</v>
      </c>
      <c r="I27" s="4"/>
      <c r="J27" s="4">
        <f>'Variable Expenses'!H22</f>
        <v>13970585.957830844</v>
      </c>
      <c r="K27" s="4"/>
      <c r="L27" s="4">
        <f>'Variable Expenses'!J22</f>
        <v>15981141.899912111</v>
      </c>
      <c r="M27" s="4"/>
      <c r="N27" s="4">
        <f>'Variable Expenses'!L22</f>
        <v>17593340.683444902</v>
      </c>
    </row>
    <row r="28" spans="3:14" ht="12.75">
      <c r="C28" s="4"/>
      <c r="D28" t="s">
        <v>44</v>
      </c>
      <c r="F28" s="4">
        <f>'Variable Expenses'!D23</f>
        <v>2742195.973873277</v>
      </c>
      <c r="G28" s="4"/>
      <c r="H28" s="4">
        <f>'Variable Expenses'!F23</f>
        <v>23798567.97</v>
      </c>
      <c r="I28" s="4"/>
      <c r="J28" s="4">
        <f>'Variable Expenses'!H23</f>
        <v>26227299.523545854</v>
      </c>
      <c r="K28" s="4"/>
      <c r="L28" s="4">
        <f>'Variable Expenses'!J23</f>
        <v>28783622.88318944</v>
      </c>
      <c r="M28" s="4"/>
      <c r="N28" s="4">
        <f>'Variable Expenses'!L23</f>
        <v>30599332.496606782</v>
      </c>
    </row>
    <row r="29" spans="3:14" ht="12.75">
      <c r="C29" s="4"/>
      <c r="D29" t="s">
        <v>138</v>
      </c>
      <c r="F29" s="4">
        <f>'Variable Expenses'!D24</f>
        <v>119317.71715068493</v>
      </c>
      <c r="G29" s="4"/>
      <c r="H29" s="4">
        <f>'Variable Expenses'!F24</f>
        <v>915455.76</v>
      </c>
      <c r="I29" s="4"/>
      <c r="J29" s="4">
        <f>'Variable Expenses'!H24</f>
        <v>942919.4328000001</v>
      </c>
      <c r="K29" s="4"/>
      <c r="L29" s="4">
        <f>'Variable Expenses'!J24</f>
        <v>971207.0157840002</v>
      </c>
      <c r="M29" s="4"/>
      <c r="N29" s="4">
        <f>'Variable Expenses'!L24</f>
        <v>976033.8094884001</v>
      </c>
    </row>
    <row r="30" spans="3:14" ht="12.75">
      <c r="C30" s="4"/>
      <c r="D30" t="s">
        <v>46</v>
      </c>
      <c r="F30" s="4">
        <f>'Variable Expenses'!D25</f>
        <v>3046059.8341439716</v>
      </c>
      <c r="G30" s="4"/>
      <c r="H30" s="4">
        <f>'Variable Expenses'!F25</f>
        <v>20594805.75</v>
      </c>
      <c r="I30" s="4"/>
      <c r="J30" s="4">
        <f>'Variable Expenses'!H25</f>
        <v>22640133.188292094</v>
      </c>
      <c r="K30" s="4"/>
      <c r="L30" s="4">
        <f>'Variable Expenses'!J25</f>
        <v>24715409.645497903</v>
      </c>
      <c r="M30" s="4"/>
      <c r="N30" s="4">
        <f>'Variable Expenses'!L25</f>
        <v>26221712.32068276</v>
      </c>
    </row>
    <row r="31" spans="3:14" ht="12.75">
      <c r="C31" s="4"/>
      <c r="D31" t="s">
        <v>47</v>
      </c>
      <c r="F31" s="4">
        <f>'Variable Expenses'!D26</f>
        <v>1306567.7675536256</v>
      </c>
      <c r="G31" s="4"/>
      <c r="H31" s="4">
        <f>'Variable Expenses'!F26</f>
        <v>5749399.459404</v>
      </c>
      <c r="I31" s="4"/>
      <c r="J31" s="4">
        <f>'Variable Expenses'!H26</f>
        <v>6401826.773401849</v>
      </c>
      <c r="K31" s="4"/>
      <c r="L31" s="4">
        <f>'Variable Expenses'!J26</f>
        <v>7167969.26521896</v>
      </c>
      <c r="M31" s="4"/>
      <c r="N31" s="4">
        <f>'Variable Expenses'!L26</f>
        <v>7588947.432560927</v>
      </c>
    </row>
    <row r="32" spans="3:14" ht="13.5" thickBot="1">
      <c r="C32" s="4"/>
      <c r="F32" s="4"/>
      <c r="G32" s="4"/>
      <c r="H32" s="4"/>
      <c r="I32" s="4"/>
      <c r="J32" s="4"/>
      <c r="K32" s="4"/>
      <c r="L32" s="4"/>
      <c r="M32" s="4"/>
      <c r="N32" s="4"/>
    </row>
    <row r="33" spans="2:14" ht="13.5" thickBot="1">
      <c r="B33" s="7"/>
      <c r="C33" s="7"/>
      <c r="D33" s="46" t="s">
        <v>85</v>
      </c>
      <c r="E33" s="47"/>
      <c r="F33" s="48">
        <f>SUM(F24:F31)</f>
        <v>19983765.277636267</v>
      </c>
      <c r="G33" s="47"/>
      <c r="H33" s="48">
        <f>SUM(H24:H31)</f>
        <v>145576840.8102293</v>
      </c>
      <c r="I33" s="47"/>
      <c r="J33" s="48">
        <f>SUM(J24:J31)</f>
        <v>155279974.638545</v>
      </c>
      <c r="K33" s="47"/>
      <c r="L33" s="48">
        <f>SUM(L24:L31)</f>
        <v>167198506.5056665</v>
      </c>
      <c r="M33" s="47"/>
      <c r="N33" s="49">
        <f>SUM(N24:N31)</f>
        <v>177819548.00418448</v>
      </c>
    </row>
    <row r="34" ht="13.5" thickBot="1"/>
    <row r="35" spans="3:18" ht="13.5" thickBot="1">
      <c r="C35" s="74" t="s">
        <v>86</v>
      </c>
      <c r="D35" s="18"/>
      <c r="E35" s="18"/>
      <c r="F35" s="19">
        <f>F21+F33</f>
        <v>26868912.89123688</v>
      </c>
      <c r="G35" s="18"/>
      <c r="H35" s="19">
        <f>H21+H33</f>
        <v>179604289.23569596</v>
      </c>
      <c r="I35" s="18"/>
      <c r="J35" s="19">
        <f>J21+J33</f>
        <v>191202488.12346634</v>
      </c>
      <c r="K35" s="18"/>
      <c r="L35" s="19">
        <f>L21+L33</f>
        <v>203909228.17560565</v>
      </c>
      <c r="M35" s="18"/>
      <c r="N35" s="19">
        <f>N21+N33</f>
        <v>215773607.10846648</v>
      </c>
      <c r="O35" s="18"/>
      <c r="P35" s="82">
        <f>(N35/L35)-1</f>
        <v>0.05818461007877129</v>
      </c>
      <c r="R35" s="54"/>
    </row>
    <row r="36" ht="13.5" thickBot="1"/>
    <row r="37" spans="2:18" ht="13.5" thickBot="1">
      <c r="B37" s="75" t="s">
        <v>87</v>
      </c>
      <c r="C37" s="22"/>
      <c r="D37" s="22"/>
      <c r="E37" s="22"/>
      <c r="F37" s="56">
        <f>F7-F35</f>
        <v>-5826292.583833311</v>
      </c>
      <c r="G37" s="22"/>
      <c r="H37" s="56">
        <f>H7-H35</f>
        <v>-8435591.357455552</v>
      </c>
      <c r="I37" s="22"/>
      <c r="J37" s="56">
        <f>J7-J35</f>
        <v>127543.00013303757</v>
      </c>
      <c r="K37" s="22"/>
      <c r="L37" s="56">
        <f>L7-L35</f>
        <v>10130111.465782493</v>
      </c>
      <c r="M37" s="22"/>
      <c r="N37" s="56">
        <f>N7-N35</f>
        <v>10668191.515569031</v>
      </c>
      <c r="O37" s="22"/>
      <c r="P37" s="84">
        <f>(N37/L37)-1</f>
        <v>0.05311689329422142</v>
      </c>
      <c r="R37" s="54"/>
    </row>
    <row r="40" ht="12.75">
      <c r="B40" s="1" t="s">
        <v>120</v>
      </c>
    </row>
    <row r="41" ht="12.75">
      <c r="C41" t="s">
        <v>89</v>
      </c>
    </row>
    <row r="42" spans="4:16" ht="12.75">
      <c r="D42" t="s">
        <v>90</v>
      </c>
      <c r="F42" s="61">
        <f>'Income Taxes'!E13</f>
        <v>0</v>
      </c>
      <c r="G42" s="61"/>
      <c r="H42" s="61">
        <f>'Income Taxes'!G13</f>
        <v>0</v>
      </c>
      <c r="I42" s="61"/>
      <c r="J42" s="61">
        <f>'Income Taxes'!I13</f>
        <v>0</v>
      </c>
      <c r="K42" s="61"/>
      <c r="L42" s="61">
        <f>'Income Taxes'!K13</f>
        <v>0</v>
      </c>
      <c r="M42" s="61"/>
      <c r="N42" s="61">
        <f>'Income Taxes'!M13</f>
        <v>-4139258.308040784</v>
      </c>
      <c r="O42" s="32"/>
      <c r="P42" s="57"/>
    </row>
    <row r="43" spans="4:16" ht="12.75">
      <c r="D43" t="s">
        <v>121</v>
      </c>
      <c r="F43" s="61">
        <f>'Net Working Capital'!E9</f>
        <v>-21937.088274603477</v>
      </c>
      <c r="G43" s="61"/>
      <c r="H43" s="61">
        <f>'Net Working Capital'!G9</f>
        <v>-1442264.8649621997</v>
      </c>
      <c r="I43" s="61"/>
      <c r="J43" s="61">
        <f>'Net Working Capital'!I9</f>
        <v>-2016133.3245358951</v>
      </c>
      <c r="K43" s="61"/>
      <c r="L43" s="61">
        <f>'Net Working Capital'!K9</f>
        <v>-2270930.8517788798</v>
      </c>
      <c r="M43" s="61"/>
      <c r="N43" s="61">
        <f>'Net Working Capital'!M9</f>
        <v>-1240245.898264736</v>
      </c>
      <c r="O43" s="32"/>
      <c r="P43" s="57"/>
    </row>
    <row r="44" spans="4:16" ht="12.75">
      <c r="D44" t="s">
        <v>73</v>
      </c>
      <c r="F44" s="61">
        <f aca="true" t="shared" si="0" ref="F44:N44">F18</f>
        <v>3194800</v>
      </c>
      <c r="G44" s="61"/>
      <c r="H44" s="61">
        <f t="shared" si="0"/>
        <v>9083000</v>
      </c>
      <c r="I44" s="61"/>
      <c r="J44" s="61">
        <f t="shared" si="0"/>
        <v>10652000</v>
      </c>
      <c r="K44" s="61"/>
      <c r="L44" s="61">
        <f t="shared" si="0"/>
        <v>11120000</v>
      </c>
      <c r="M44" s="61"/>
      <c r="N44" s="61">
        <f t="shared" si="0"/>
        <v>11586000</v>
      </c>
      <c r="O44" s="32"/>
      <c r="P44" s="33"/>
    </row>
    <row r="45" spans="4:16" ht="12.75">
      <c r="D45" t="s">
        <v>91</v>
      </c>
      <c r="F45" s="61">
        <f>'Capital Expenditures'!$H$14</f>
        <v>-4769594.997022036</v>
      </c>
      <c r="G45" s="61"/>
      <c r="H45" s="61">
        <f>'Capital Expenditures'!$H$26</f>
        <v>-16967391.304347824</v>
      </c>
      <c r="I45" s="61"/>
      <c r="J45" s="61">
        <v>-4000000</v>
      </c>
      <c r="K45" s="61"/>
      <c r="L45" s="61">
        <v>-4000000</v>
      </c>
      <c r="M45" s="61"/>
      <c r="N45" s="61">
        <v>-4000000</v>
      </c>
      <c r="O45" s="32"/>
      <c r="P45" s="57"/>
    </row>
    <row r="46" spans="6:16" ht="12.75">
      <c r="F46" s="61"/>
      <c r="G46" s="61"/>
      <c r="H46" s="61"/>
      <c r="I46" s="61"/>
      <c r="J46" s="61"/>
      <c r="K46" s="61"/>
      <c r="L46" s="61"/>
      <c r="M46" s="61"/>
      <c r="N46" s="61"/>
      <c r="O46" s="32"/>
      <c r="P46" s="32"/>
    </row>
    <row r="47" spans="4:16" ht="12.75">
      <c r="D47" t="s">
        <v>92</v>
      </c>
      <c r="F47" s="61">
        <f>SUM(F42:F45)</f>
        <v>-1596732.0852966402</v>
      </c>
      <c r="G47" s="61"/>
      <c r="H47" s="61">
        <f>SUM(H42:H45)</f>
        <v>-9326656.169310024</v>
      </c>
      <c r="I47" s="61"/>
      <c r="J47" s="61">
        <f>SUM(J42:J45)</f>
        <v>4635866.675464105</v>
      </c>
      <c r="K47" s="61"/>
      <c r="L47" s="61">
        <f>SUM(L42:L45)</f>
        <v>4849069.14822112</v>
      </c>
      <c r="M47" s="61"/>
      <c r="N47" s="61">
        <f>SUM(N42:N45)</f>
        <v>2206495.7936944794</v>
      </c>
      <c r="O47" s="32"/>
      <c r="P47" s="57"/>
    </row>
    <row r="48" spans="15:16" ht="13.5" thickBot="1">
      <c r="O48" s="32"/>
      <c r="P48" s="32"/>
    </row>
    <row r="49" spans="4:16" ht="13.5" thickBot="1">
      <c r="D49" s="46" t="s">
        <v>93</v>
      </c>
      <c r="E49" s="47"/>
      <c r="F49" s="85">
        <f>F37+F47</f>
        <v>-7423024.669129951</v>
      </c>
      <c r="G49" s="47"/>
      <c r="H49" s="85">
        <f>H37+H47</f>
        <v>-17762247.526765577</v>
      </c>
      <c r="I49" s="47"/>
      <c r="J49" s="85">
        <f>J37+J47</f>
        <v>4763409.675597142</v>
      </c>
      <c r="K49" s="47"/>
      <c r="L49" s="85">
        <f>L37+L47</f>
        <v>14979180.614003614</v>
      </c>
      <c r="M49" s="47"/>
      <c r="N49" s="86">
        <f>N37+N47</f>
        <v>12874687.30926351</v>
      </c>
      <c r="O49" s="32"/>
      <c r="P49" s="57"/>
    </row>
    <row r="50" spans="15:16" ht="12.75">
      <c r="O50" s="32"/>
      <c r="P50" s="32"/>
    </row>
    <row r="51" spans="3:16" ht="12.75">
      <c r="C51" t="s">
        <v>146</v>
      </c>
      <c r="O51" s="32"/>
      <c r="P51" s="32"/>
    </row>
    <row r="52" spans="4:16" ht="12.75">
      <c r="D52" t="s">
        <v>133</v>
      </c>
      <c r="F52" s="54">
        <f>WACC!E25</f>
        <v>0.1935711</v>
      </c>
      <c r="G52" s="54"/>
      <c r="H52" s="54">
        <f>WACC!G25</f>
        <v>0.1935711</v>
      </c>
      <c r="I52" s="54"/>
      <c r="J52" s="54">
        <f>WACC!I25</f>
        <v>0.1935711</v>
      </c>
      <c r="K52" s="54"/>
      <c r="L52" s="54">
        <f>WACC!K25</f>
        <v>0.1935711</v>
      </c>
      <c r="M52" s="54"/>
      <c r="N52" s="54">
        <f>WACC!M25</f>
        <v>0.181363456</v>
      </c>
      <c r="O52" s="94"/>
      <c r="P52" s="94"/>
    </row>
    <row r="53" spans="4:16" ht="12.75">
      <c r="D53" t="s">
        <v>94</v>
      </c>
      <c r="F53" s="32">
        <v>0.07</v>
      </c>
      <c r="G53" s="32"/>
      <c r="H53" s="32">
        <v>0.64</v>
      </c>
      <c r="I53" s="32"/>
      <c r="J53" s="32">
        <v>1.64</v>
      </c>
      <c r="K53" s="32"/>
      <c r="L53" s="32">
        <v>2.64</v>
      </c>
      <c r="M53" s="32"/>
      <c r="N53" s="32">
        <v>3.64</v>
      </c>
      <c r="O53" s="94"/>
      <c r="P53" s="32"/>
    </row>
    <row r="54" spans="6:16" ht="13.5" thickBot="1">
      <c r="F54" s="32"/>
      <c r="G54" s="32"/>
      <c r="H54" s="32"/>
      <c r="I54" s="32"/>
      <c r="J54" s="32"/>
      <c r="K54" s="32"/>
      <c r="L54" s="32"/>
      <c r="M54" s="32"/>
      <c r="N54" s="32"/>
      <c r="O54" s="94"/>
      <c r="P54" s="32"/>
    </row>
    <row r="55" spans="4:16" ht="13.5" thickBot="1">
      <c r="D55" s="46" t="s">
        <v>95</v>
      </c>
      <c r="E55" s="47"/>
      <c r="F55" s="87">
        <f>1/(1+F52)^F53</f>
        <v>0.987689915070029</v>
      </c>
      <c r="G55" s="87"/>
      <c r="H55" s="87">
        <f>1/(1+H52)^H53</f>
        <v>0.8929293361096003</v>
      </c>
      <c r="I55" s="87"/>
      <c r="J55" s="87">
        <f>1/(1+J52)^J53</f>
        <v>0.7481157478675551</v>
      </c>
      <c r="K55" s="87"/>
      <c r="L55" s="87">
        <f>1/(1+L52)^L53</f>
        <v>0.626787753044251</v>
      </c>
      <c r="M55" s="87"/>
      <c r="N55" s="83">
        <f>1/(1+N52)^N53</f>
        <v>0.5451599489089749</v>
      </c>
      <c r="O55" s="94"/>
      <c r="P55" s="94"/>
    </row>
    <row r="56" ht="13.5" thickBot="1"/>
    <row r="57" spans="4:16" ht="13.5" thickBot="1">
      <c r="D57" s="17" t="s">
        <v>96</v>
      </c>
      <c r="E57" s="18"/>
      <c r="F57" s="58">
        <f>F49*F55</f>
        <v>-7331646.605015691</v>
      </c>
      <c r="G57" s="18"/>
      <c r="H57" s="58">
        <f>H49*H55</f>
        <v>-15860431.891889177</v>
      </c>
      <c r="I57" s="18"/>
      <c r="J57" s="58">
        <f>J49*J55</f>
        <v>3563581.791858904</v>
      </c>
      <c r="K57" s="18"/>
      <c r="L57" s="58">
        <f>L49*L55</f>
        <v>9388766.95949533</v>
      </c>
      <c r="M57" s="18"/>
      <c r="N57" s="73">
        <f>N49*N55</f>
        <v>7018763.875737123</v>
      </c>
      <c r="O57" s="32"/>
      <c r="P57" s="57"/>
    </row>
    <row r="59" ht="12.75">
      <c r="C59" t="s">
        <v>88</v>
      </c>
    </row>
    <row r="60" spans="4:6" ht="12.75">
      <c r="D60" t="s">
        <v>134</v>
      </c>
      <c r="F60" s="61">
        <f>$N$49</f>
        <v>12874687.30926351</v>
      </c>
    </row>
    <row r="61" spans="4:6" ht="12.75">
      <c r="D61" t="s">
        <v>133</v>
      </c>
      <c r="F61" s="54">
        <f>N52-P37</f>
        <v>0.12824656270577858</v>
      </c>
    </row>
    <row r="62" ht="13.5" thickBot="1">
      <c r="F62" s="61"/>
    </row>
    <row r="63" spans="4:10" ht="13.5" thickBot="1">
      <c r="D63" s="10" t="s">
        <v>88</v>
      </c>
      <c r="E63" s="11"/>
      <c r="F63" s="93">
        <f>F60/F61</f>
        <v>100390116.02050054</v>
      </c>
      <c r="H63" s="10" t="s">
        <v>97</v>
      </c>
      <c r="I63" s="11"/>
      <c r="J63" s="96">
        <f>F63/(N37+N44)</f>
        <v>4.51106551996138</v>
      </c>
    </row>
    <row r="64" ht="12.75">
      <c r="F64" s="61"/>
    </row>
    <row r="65" spans="4:6" ht="12.75">
      <c r="D65" s="32" t="s">
        <v>148</v>
      </c>
      <c r="E65" s="32"/>
      <c r="F65" s="57">
        <f>F60*((1+N52)^0.5)</f>
        <v>13993567.796142042</v>
      </c>
    </row>
    <row r="66" spans="4:6" ht="12.75">
      <c r="D66" t="s">
        <v>135</v>
      </c>
      <c r="F66" s="54">
        <f>F61</f>
        <v>0.12824656270577858</v>
      </c>
    </row>
    <row r="67" ht="13.5" thickBot="1"/>
    <row r="68" spans="4:16" ht="13.5" thickBot="1">
      <c r="D68" s="46" t="s">
        <v>156</v>
      </c>
      <c r="E68" s="47"/>
      <c r="F68" s="86">
        <f>F65/F66</f>
        <v>109114564.1715629</v>
      </c>
      <c r="P68" s="61"/>
    </row>
    <row r="69" spans="4:16" ht="12.75">
      <c r="D69" s="32"/>
      <c r="E69" s="32"/>
      <c r="F69" s="57"/>
      <c r="P69" s="61"/>
    </row>
    <row r="70" spans="4:16" ht="12.75">
      <c r="D70" s="32" t="s">
        <v>160</v>
      </c>
      <c r="E70" s="97"/>
      <c r="F70" s="98">
        <f>N52</f>
        <v>0.181363456</v>
      </c>
      <c r="P70" s="61"/>
    </row>
    <row r="71" spans="4:6" ht="12.75">
      <c r="D71" t="s">
        <v>159</v>
      </c>
      <c r="F71" s="99">
        <f>(N53+0.5)</f>
        <v>4.140000000000001</v>
      </c>
    </row>
    <row r="72" ht="13.5" thickBot="1">
      <c r="F72" s="99"/>
    </row>
    <row r="73" spans="4:16" ht="13.5" thickBot="1">
      <c r="D73" s="46" t="s">
        <v>158</v>
      </c>
      <c r="E73" s="47"/>
      <c r="F73" s="83">
        <f>1/(1+F70)^F71</f>
        <v>0.5015707200612672</v>
      </c>
      <c r="P73" s="61"/>
    </row>
    <row r="74" ht="13.5" thickBot="1">
      <c r="P74" s="61"/>
    </row>
    <row r="75" spans="4:6" ht="13.5" thickBot="1">
      <c r="D75" s="17" t="s">
        <v>157</v>
      </c>
      <c r="E75" s="18"/>
      <c r="F75" s="73">
        <f>F68*F73</f>
        <v>54728670.52070215</v>
      </c>
    </row>
    <row r="76" ht="13.5" thickBot="1"/>
    <row r="77" spans="4:6" ht="13.5" thickBot="1">
      <c r="D77" s="17" t="s">
        <v>149</v>
      </c>
      <c r="E77" s="18"/>
      <c r="F77" s="73">
        <f>SUM(F57,H57,J57,L57,N57)</f>
        <v>-3220965.869813511</v>
      </c>
    </row>
    <row r="78" ht="13.5" thickBot="1"/>
    <row r="79" spans="4:6" ht="13.5" thickBot="1">
      <c r="D79" s="55" t="s">
        <v>151</v>
      </c>
      <c r="E79" s="22"/>
      <c r="F79" s="62">
        <f>F75+F77</f>
        <v>51507704.650888644</v>
      </c>
    </row>
    <row r="81" ht="12.75">
      <c r="C81" t="s">
        <v>152</v>
      </c>
    </row>
    <row r="82" spans="4:6" ht="12.75">
      <c r="D82" t="s">
        <v>153</v>
      </c>
      <c r="F82" s="61">
        <v>0</v>
      </c>
    </row>
    <row r="83" spans="4:6" ht="12.75">
      <c r="D83" t="s">
        <v>154</v>
      </c>
      <c r="F83" s="61">
        <f>20678221</f>
        <v>20678221</v>
      </c>
    </row>
    <row r="84" ht="13.5" thickBot="1">
      <c r="F84" s="61"/>
    </row>
    <row r="85" spans="4:6" ht="13.5" thickBot="1">
      <c r="D85" s="55" t="s">
        <v>155</v>
      </c>
      <c r="E85" s="22"/>
      <c r="F85" s="62">
        <f>F82+F83</f>
        <v>20678221</v>
      </c>
    </row>
    <row r="86" ht="13.5" thickBot="1">
      <c r="F86" s="61"/>
    </row>
    <row r="87" spans="3:6" ht="13.5" thickBot="1">
      <c r="C87" s="8" t="s">
        <v>163</v>
      </c>
      <c r="D87" s="9"/>
      <c r="E87" s="9"/>
      <c r="F87" s="95">
        <f>F79+F85</f>
        <v>72185925.65088865</v>
      </c>
    </row>
    <row r="88" ht="13.5" thickBot="1">
      <c r="F88" s="61"/>
    </row>
    <row r="89" spans="3:6" ht="13.5" thickBot="1">
      <c r="C89" s="8" t="s">
        <v>164</v>
      </c>
      <c r="D89" s="9"/>
      <c r="E89" s="9"/>
      <c r="F89" s="95">
        <v>57985984</v>
      </c>
    </row>
    <row r="90" ht="13.5" thickBot="1">
      <c r="F90" s="61"/>
    </row>
    <row r="91" spans="3:6" ht="13.5" thickBot="1">
      <c r="C91" s="100" t="s">
        <v>162</v>
      </c>
      <c r="D91" s="101"/>
      <c r="E91" s="101"/>
      <c r="F91" s="102">
        <f>(F87*0.75)+(F89*0.25)</f>
        <v>68635940.23816648</v>
      </c>
    </row>
    <row r="92" ht="12.75">
      <c r="F92" s="61"/>
    </row>
    <row r="93" ht="12.75">
      <c r="F93" s="61"/>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O65"/>
  <sheetViews>
    <sheetView zoomScale="75" zoomScaleNormal="75" workbookViewId="0" topLeftCell="A1">
      <selection activeCell="A1" sqref="A1"/>
    </sheetView>
  </sheetViews>
  <sheetFormatPr defaultColWidth="9.140625" defaultRowHeight="12.75"/>
  <cols>
    <col min="1" max="1" width="49.57421875" style="0" bestFit="1" customWidth="1"/>
    <col min="2" max="2" width="11.421875" style="0" bestFit="1" customWidth="1"/>
    <col min="3" max="3" width="25.28125" style="0" bestFit="1" customWidth="1"/>
    <col min="4" max="4" width="26.421875" style="0" bestFit="1" customWidth="1"/>
    <col min="5" max="5" width="20.421875" style="0" bestFit="1" customWidth="1"/>
    <col min="7" max="7" width="15.00390625" style="0" bestFit="1" customWidth="1"/>
    <col min="9" max="9" width="12.7109375" style="0" bestFit="1" customWidth="1"/>
    <col min="11" max="11" width="19.57421875" style="0" bestFit="1" customWidth="1"/>
    <col min="13" max="13" width="13.57421875" style="4" bestFit="1" customWidth="1"/>
    <col min="14" max="14" width="9.140625" style="4" customWidth="1"/>
    <col min="15" max="15" width="21.00390625" style="4" bestFit="1" customWidth="1"/>
    <col min="16" max="16384" width="9.140625" style="4" customWidth="1"/>
  </cols>
  <sheetData>
    <row r="1" spans="1:15" ht="12.75">
      <c r="A1" s="1" t="s">
        <v>0</v>
      </c>
      <c r="B1" s="1"/>
      <c r="G1" s="2" t="s">
        <v>1</v>
      </c>
      <c r="I1" s="2" t="s">
        <v>2</v>
      </c>
      <c r="K1" s="2" t="s">
        <v>3</v>
      </c>
      <c r="M1" s="2" t="s">
        <v>51</v>
      </c>
      <c r="N1" s="51"/>
      <c r="O1" s="2" t="s">
        <v>52</v>
      </c>
    </row>
    <row r="2" ht="12.75">
      <c r="A2" t="s">
        <v>25</v>
      </c>
    </row>
    <row r="3" ht="12.75">
      <c r="B3" s="3" t="s">
        <v>26</v>
      </c>
    </row>
    <row r="4" ht="12.75">
      <c r="C4" s="6" t="s">
        <v>5</v>
      </c>
    </row>
    <row r="5" spans="3:4" ht="12.75">
      <c r="C5" s="6"/>
      <c r="D5" t="s">
        <v>23</v>
      </c>
    </row>
    <row r="6" spans="5:15" ht="12.75">
      <c r="E6" t="s">
        <v>6</v>
      </c>
      <c r="G6" s="4">
        <v>80103628</v>
      </c>
      <c r="H6" s="4"/>
      <c r="I6" s="4">
        <f>G6/304</f>
        <v>263498.7763157895</v>
      </c>
      <c r="J6" s="4"/>
      <c r="K6" s="4">
        <f>G6/304*365</f>
        <v>96177053.35526316</v>
      </c>
      <c r="M6" s="4">
        <f>K6/365</f>
        <v>263498.7763157895</v>
      </c>
      <c r="O6" s="4">
        <f>M6*49</f>
        <v>12911440.039473685</v>
      </c>
    </row>
    <row r="7" spans="5:15" ht="12.75">
      <c r="E7" t="s">
        <v>7</v>
      </c>
      <c r="G7" s="4">
        <v>188168681</v>
      </c>
      <c r="H7" s="4"/>
      <c r="I7" s="4">
        <f>G7/304</f>
        <v>618975.9243421053</v>
      </c>
      <c r="J7" s="4"/>
      <c r="K7" s="4">
        <f>G7/304*365</f>
        <v>225926212.3848684</v>
      </c>
      <c r="M7" s="4">
        <f>K7/365</f>
        <v>618975.9243421053</v>
      </c>
      <c r="O7" s="4">
        <f>M7*49</f>
        <v>30329820.29276316</v>
      </c>
    </row>
    <row r="8" spans="5:6" ht="13.5" thickBot="1">
      <c r="E8" s="7"/>
      <c r="F8" s="7"/>
    </row>
    <row r="9" spans="3:15" ht="13.5" thickBot="1">
      <c r="C9" s="38"/>
      <c r="D9" s="38"/>
      <c r="E9" s="46" t="s">
        <v>8</v>
      </c>
      <c r="F9" s="47"/>
      <c r="G9" s="48">
        <f>G6+G7</f>
        <v>268272309</v>
      </c>
      <c r="H9" s="48"/>
      <c r="I9" s="48">
        <f>G9/304</f>
        <v>882474.7006578947</v>
      </c>
      <c r="J9" s="48"/>
      <c r="K9" s="48">
        <f>G9/304*365</f>
        <v>322103265.74013156</v>
      </c>
      <c r="L9" s="47"/>
      <c r="M9" s="48">
        <f>K9/365</f>
        <v>882474.7006578947</v>
      </c>
      <c r="N9" s="48"/>
      <c r="O9" s="49">
        <f>M9*49</f>
        <v>43241260.33223684</v>
      </c>
    </row>
    <row r="10" spans="3:11" ht="12.75">
      <c r="C10" s="38"/>
      <c r="D10" s="38"/>
      <c r="E10" s="32"/>
      <c r="F10" s="32"/>
      <c r="G10" s="33"/>
      <c r="H10" s="33"/>
      <c r="I10" s="33"/>
      <c r="J10" s="33"/>
      <c r="K10" s="33"/>
    </row>
    <row r="11" spans="3:11" ht="13.5" thickBot="1">
      <c r="C11" s="38"/>
      <c r="D11" s="38" t="s">
        <v>24</v>
      </c>
      <c r="E11" s="32"/>
      <c r="F11" s="32"/>
      <c r="G11" s="33"/>
      <c r="H11" s="33"/>
      <c r="I11" s="33"/>
      <c r="J11" s="33"/>
      <c r="K11" s="33"/>
    </row>
    <row r="12" spans="3:15" ht="13.5" thickBot="1">
      <c r="C12" s="38"/>
      <c r="D12" s="38"/>
      <c r="E12" s="46" t="s">
        <v>9</v>
      </c>
      <c r="F12" s="47"/>
      <c r="G12" s="48">
        <v>106236838</v>
      </c>
      <c r="H12" s="48"/>
      <c r="I12" s="48">
        <f>G12/304</f>
        <v>349463.28289473685</v>
      </c>
      <c r="J12" s="48"/>
      <c r="K12" s="48">
        <f>G12/304*365</f>
        <v>127554098.25657895</v>
      </c>
      <c r="L12" s="47"/>
      <c r="M12" s="48">
        <f>K12/365</f>
        <v>349463.28289473685</v>
      </c>
      <c r="N12" s="48"/>
      <c r="O12" s="49">
        <f>M12*49</f>
        <v>17123700.861842107</v>
      </c>
    </row>
    <row r="13" spans="3:11" ht="13.5" thickBot="1">
      <c r="C13" s="38"/>
      <c r="D13" s="38"/>
      <c r="E13" s="32"/>
      <c r="F13" s="32"/>
      <c r="G13" s="38"/>
      <c r="H13" s="38"/>
      <c r="I13" s="38"/>
      <c r="J13" s="38"/>
      <c r="K13" s="38"/>
    </row>
    <row r="14" spans="3:15" ht="13.5" thickBot="1">
      <c r="C14" s="38"/>
      <c r="D14" s="10" t="s">
        <v>10</v>
      </c>
      <c r="E14" s="11"/>
      <c r="F14" s="11"/>
      <c r="G14" s="12">
        <f>G9+G12</f>
        <v>374509147</v>
      </c>
      <c r="H14" s="12"/>
      <c r="I14" s="12">
        <f>G14/304</f>
        <v>1231937.9835526317</v>
      </c>
      <c r="J14" s="12"/>
      <c r="K14" s="12">
        <f>G14/304*365</f>
        <v>449657363.99671054</v>
      </c>
      <c r="L14" s="11"/>
      <c r="M14" s="12">
        <f>K14/365</f>
        <v>1231937.9835526317</v>
      </c>
      <c r="N14" s="12"/>
      <c r="O14" s="13">
        <f>M14*49</f>
        <v>60364961.19407895</v>
      </c>
    </row>
    <row r="15" spans="3:11" ht="13.5" thickBot="1">
      <c r="C15" s="38"/>
      <c r="D15" s="38"/>
      <c r="E15" s="32"/>
      <c r="F15" s="32"/>
      <c r="G15" s="33"/>
      <c r="H15" s="33"/>
      <c r="I15" s="33"/>
      <c r="J15" s="33"/>
      <c r="K15" s="33"/>
    </row>
    <row r="16" spans="3:15" ht="13.5" thickBot="1">
      <c r="C16" s="38"/>
      <c r="D16" s="14" t="s">
        <v>11</v>
      </c>
      <c r="E16" s="15"/>
      <c r="F16" s="15"/>
      <c r="G16" s="16">
        <v>6434061</v>
      </c>
      <c r="H16" s="16"/>
      <c r="I16" s="16">
        <f>G16/304</f>
        <v>21164.674342105263</v>
      </c>
      <c r="J16" s="16"/>
      <c r="K16" s="16">
        <f>G16/304*365</f>
        <v>7725106.134868421</v>
      </c>
      <c r="L16" s="11"/>
      <c r="M16" s="12">
        <f>K16/365</f>
        <v>21164.674342105263</v>
      </c>
      <c r="N16" s="12"/>
      <c r="O16" s="13">
        <f>M16*49</f>
        <v>1037069.0427631579</v>
      </c>
    </row>
    <row r="17" spans="3:11" ht="13.5" thickBot="1">
      <c r="C17" s="38"/>
      <c r="D17" s="38"/>
      <c r="E17" s="32"/>
      <c r="F17" s="32"/>
      <c r="G17" s="40"/>
      <c r="H17" s="40"/>
      <c r="I17" s="40"/>
      <c r="J17" s="40"/>
      <c r="K17" s="40"/>
    </row>
    <row r="18" spans="3:15" ht="13.5" thickBot="1">
      <c r="C18" s="38"/>
      <c r="D18" s="17" t="s">
        <v>12</v>
      </c>
      <c r="E18" s="18"/>
      <c r="F18" s="18"/>
      <c r="G18" s="19">
        <f>G14+G16</f>
        <v>380943208</v>
      </c>
      <c r="H18" s="19"/>
      <c r="I18" s="19">
        <f>G18/304</f>
        <v>1253102.6578947369</v>
      </c>
      <c r="J18" s="19"/>
      <c r="K18" s="19">
        <f>G18/304*365</f>
        <v>457382470.1315789</v>
      </c>
      <c r="L18" s="18"/>
      <c r="M18" s="19">
        <f>K18/365</f>
        <v>1253102.6578947369</v>
      </c>
      <c r="N18" s="19"/>
      <c r="O18" s="20">
        <f>M18*49</f>
        <v>61402030.2368421</v>
      </c>
    </row>
    <row r="19" spans="3:11" ht="12.75">
      <c r="C19" s="38"/>
      <c r="D19" s="38"/>
      <c r="E19" s="32"/>
      <c r="F19" s="32"/>
      <c r="G19" s="33"/>
      <c r="H19" s="33"/>
      <c r="I19" s="33"/>
      <c r="J19" s="33"/>
      <c r="K19" s="33"/>
    </row>
    <row r="20" spans="3:11" ht="12.75">
      <c r="C20" s="41" t="s">
        <v>13</v>
      </c>
      <c r="D20" s="38"/>
      <c r="E20" s="32"/>
      <c r="F20" s="32"/>
      <c r="G20" s="33"/>
      <c r="H20" s="33"/>
      <c r="I20" s="33"/>
      <c r="J20" s="33"/>
      <c r="K20" s="33"/>
    </row>
    <row r="21" spans="3:15" ht="12.75">
      <c r="C21" s="38"/>
      <c r="D21" s="38" t="s">
        <v>14</v>
      </c>
      <c r="E21" s="32"/>
      <c r="F21" s="32"/>
      <c r="G21" s="33">
        <v>50203819</v>
      </c>
      <c r="H21" s="33"/>
      <c r="I21" s="33">
        <f aca="true" t="shared" si="0" ref="I21:I31">G21/304</f>
        <v>165144.14144736843</v>
      </c>
      <c r="J21" s="33"/>
      <c r="K21" s="33">
        <f aca="true" t="shared" si="1" ref="K21:K27">G21/304*365</f>
        <v>60277611.628289476</v>
      </c>
      <c r="M21" s="4">
        <f aca="true" t="shared" si="2" ref="M21:M27">K21/365</f>
        <v>165144.14144736843</v>
      </c>
      <c r="O21" s="4">
        <f aca="true" t="shared" si="3" ref="O21:O27">M21*49</f>
        <v>8092062.930921053</v>
      </c>
    </row>
    <row r="22" spans="3:15" ht="12.75">
      <c r="C22" s="38"/>
      <c r="D22" s="38" t="s">
        <v>15</v>
      </c>
      <c r="E22" s="32"/>
      <c r="F22" s="32"/>
      <c r="G22" s="33">
        <v>53982488</v>
      </c>
      <c r="H22" s="33"/>
      <c r="I22" s="33">
        <f t="shared" si="0"/>
        <v>177573.97368421053</v>
      </c>
      <c r="J22" s="33"/>
      <c r="K22" s="33">
        <f t="shared" si="1"/>
        <v>64814500.39473684</v>
      </c>
      <c r="M22" s="4">
        <f t="shared" si="2"/>
        <v>177573.97368421053</v>
      </c>
      <c r="O22" s="4">
        <f t="shared" si="3"/>
        <v>8701124.710526315</v>
      </c>
    </row>
    <row r="23" spans="3:15" ht="12.75">
      <c r="C23" s="38"/>
      <c r="D23" s="38" t="s">
        <v>16</v>
      </c>
      <c r="E23" s="32"/>
      <c r="F23" s="32"/>
      <c r="G23" s="42">
        <v>37814</v>
      </c>
      <c r="H23" s="42"/>
      <c r="I23" s="42">
        <f t="shared" si="0"/>
        <v>124.38815789473684</v>
      </c>
      <c r="J23" s="42"/>
      <c r="K23" s="42">
        <f t="shared" si="1"/>
        <v>45401.67763157895</v>
      </c>
      <c r="M23" s="4">
        <f t="shared" si="2"/>
        <v>124.38815789473684</v>
      </c>
      <c r="O23" s="4">
        <f t="shared" si="3"/>
        <v>6095.019736842105</v>
      </c>
    </row>
    <row r="24" spans="3:15" ht="12.75">
      <c r="C24" s="38"/>
      <c r="D24" s="38" t="s">
        <v>17</v>
      </c>
      <c r="E24" s="32"/>
      <c r="F24" s="32"/>
      <c r="G24" s="42">
        <v>-291989</v>
      </c>
      <c r="H24" s="42"/>
      <c r="I24" s="42">
        <f t="shared" si="0"/>
        <v>-960.4901315789474</v>
      </c>
      <c r="J24" s="42"/>
      <c r="K24" s="42">
        <f t="shared" si="1"/>
        <v>-350578.8980263158</v>
      </c>
      <c r="M24" s="4">
        <f t="shared" si="2"/>
        <v>-960.4901315789474</v>
      </c>
      <c r="O24" s="4">
        <f t="shared" si="3"/>
        <v>-47064.01644736842</v>
      </c>
    </row>
    <row r="25" spans="3:15" ht="12.75">
      <c r="C25" s="38"/>
      <c r="D25" s="38" t="s">
        <v>18</v>
      </c>
      <c r="E25" s="32"/>
      <c r="F25" s="32"/>
      <c r="G25" s="33">
        <v>137066774</v>
      </c>
      <c r="H25" s="33"/>
      <c r="I25" s="33">
        <f t="shared" si="0"/>
        <v>450877.5460526316</v>
      </c>
      <c r="J25" s="33"/>
      <c r="K25" s="33">
        <f t="shared" si="1"/>
        <v>164570304.30921054</v>
      </c>
      <c r="M25" s="4">
        <f t="shared" si="2"/>
        <v>450877.54605263163</v>
      </c>
      <c r="O25" s="4">
        <f t="shared" si="3"/>
        <v>22092999.75657895</v>
      </c>
    </row>
    <row r="26" spans="3:15" ht="12.75">
      <c r="C26" s="38"/>
      <c r="D26" s="38" t="s">
        <v>19</v>
      </c>
      <c r="E26" s="32"/>
      <c r="F26" s="32"/>
      <c r="G26" s="33">
        <v>3842565</v>
      </c>
      <c r="H26" s="33"/>
      <c r="I26" s="33">
        <f t="shared" si="0"/>
        <v>12640.016447368422</v>
      </c>
      <c r="J26" s="33"/>
      <c r="K26" s="33">
        <f t="shared" si="1"/>
        <v>4613606.003289474</v>
      </c>
      <c r="M26" s="4">
        <f t="shared" si="2"/>
        <v>12640.016447368422</v>
      </c>
      <c r="O26" s="4">
        <f t="shared" si="3"/>
        <v>619360.8059210527</v>
      </c>
    </row>
    <row r="27" spans="3:15" ht="12.75">
      <c r="C27" s="38"/>
      <c r="D27" s="38" t="s">
        <v>20</v>
      </c>
      <c r="E27" s="32"/>
      <c r="F27" s="32"/>
      <c r="G27" s="42">
        <v>10635583</v>
      </c>
      <c r="H27" s="42"/>
      <c r="I27" s="42">
        <f t="shared" si="0"/>
        <v>34985.47039473684</v>
      </c>
      <c r="J27" s="42"/>
      <c r="K27" s="42">
        <f t="shared" si="1"/>
        <v>12769696.694078946</v>
      </c>
      <c r="M27" s="4">
        <f t="shared" si="2"/>
        <v>34985.47039473684</v>
      </c>
      <c r="O27" s="4">
        <f t="shared" si="3"/>
        <v>1714288.0493421052</v>
      </c>
    </row>
    <row r="28" spans="3:11" ht="13.5" thickBot="1">
      <c r="C28" s="38"/>
      <c r="D28" s="38"/>
      <c r="E28" s="32"/>
      <c r="F28" s="32"/>
      <c r="G28" s="38"/>
      <c r="H28" s="38"/>
      <c r="I28" s="38"/>
      <c r="J28" s="38"/>
      <c r="K28" s="38"/>
    </row>
    <row r="29" spans="3:15" ht="13.5" thickBot="1">
      <c r="C29" s="38"/>
      <c r="D29" s="17" t="s">
        <v>21</v>
      </c>
      <c r="E29" s="18"/>
      <c r="F29" s="18"/>
      <c r="G29" s="19">
        <f>SUM(G21:G27)</f>
        <v>255477054</v>
      </c>
      <c r="H29" s="19"/>
      <c r="I29" s="19">
        <f>G29/304</f>
        <v>840385.0460526316</v>
      </c>
      <c r="J29" s="19"/>
      <c r="K29" s="19">
        <f>G29/304*365</f>
        <v>306740541.80921054</v>
      </c>
      <c r="L29" s="18"/>
      <c r="M29" s="19">
        <f>K29/365</f>
        <v>840385.0460526316</v>
      </c>
      <c r="N29" s="19"/>
      <c r="O29" s="20">
        <f>M29*49</f>
        <v>41178867.256578945</v>
      </c>
    </row>
    <row r="30" spans="3:11" ht="13.5" thickBot="1">
      <c r="C30" s="38"/>
      <c r="D30" s="38"/>
      <c r="E30" s="38"/>
      <c r="F30" s="38"/>
      <c r="G30" s="39"/>
      <c r="H30" s="39"/>
      <c r="I30" s="39"/>
      <c r="J30" s="39"/>
      <c r="K30" s="39"/>
    </row>
    <row r="31" spans="3:15" ht="13.5" thickBot="1">
      <c r="C31" s="21" t="s">
        <v>22</v>
      </c>
      <c r="D31" s="22"/>
      <c r="E31" s="22"/>
      <c r="F31" s="22"/>
      <c r="G31" s="23">
        <f>G18-G29</f>
        <v>125466154</v>
      </c>
      <c r="H31" s="23"/>
      <c r="I31" s="23">
        <f t="shared" si="0"/>
        <v>412717.6118421053</v>
      </c>
      <c r="J31" s="23"/>
      <c r="K31" s="23">
        <f>G31/304*365</f>
        <v>150641928.3223684</v>
      </c>
      <c r="L31" s="22"/>
      <c r="M31" s="23">
        <f>K31/365</f>
        <v>412717.6118421052</v>
      </c>
      <c r="N31" s="23"/>
      <c r="O31" s="24">
        <f>M31*49</f>
        <v>20223162.980263155</v>
      </c>
    </row>
    <row r="32" spans="1:11" ht="13.5" thickBot="1">
      <c r="A32" s="7"/>
      <c r="B32" s="7"/>
      <c r="C32" s="31"/>
      <c r="D32" s="32"/>
      <c r="E32" s="32"/>
      <c r="F32" s="32"/>
      <c r="G32" s="33"/>
      <c r="H32" s="33"/>
      <c r="I32" s="33"/>
      <c r="J32" s="33"/>
      <c r="K32" s="33"/>
    </row>
    <row r="33" spans="1:15" ht="13.5" thickBot="1">
      <c r="A33" s="7"/>
      <c r="B33" s="7"/>
      <c r="C33" s="34" t="s">
        <v>50</v>
      </c>
      <c r="D33" s="35"/>
      <c r="E33" s="35"/>
      <c r="F33" s="35"/>
      <c r="G33" s="36">
        <f>G31-G16</f>
        <v>119032093</v>
      </c>
      <c r="H33" s="36"/>
      <c r="I33" s="36">
        <f>I31-I16</f>
        <v>391552.9375</v>
      </c>
      <c r="J33" s="36"/>
      <c r="K33" s="36">
        <f>K31-K16</f>
        <v>142916822.1875</v>
      </c>
      <c r="L33" s="35"/>
      <c r="M33" s="36">
        <f>K33/365</f>
        <v>391552.9375</v>
      </c>
      <c r="N33" s="36"/>
      <c r="O33" s="37">
        <f>M33*49</f>
        <v>19186093.9375</v>
      </c>
    </row>
    <row r="34" spans="1:15" ht="12.75">
      <c r="A34" s="25"/>
      <c r="B34" s="25"/>
      <c r="C34" s="26"/>
      <c r="D34" s="27"/>
      <c r="E34" s="27"/>
      <c r="F34" s="27"/>
      <c r="G34" s="28"/>
      <c r="H34" s="28"/>
      <c r="I34" s="28"/>
      <c r="J34" s="28"/>
      <c r="K34" s="28"/>
      <c r="L34" s="25"/>
      <c r="M34" s="50"/>
      <c r="N34" s="50"/>
      <c r="O34" s="50"/>
    </row>
    <row r="35" spans="1:15" ht="12.75">
      <c r="A35" s="25"/>
      <c r="B35" s="25"/>
      <c r="C35" s="27"/>
      <c r="D35" s="27"/>
      <c r="E35" s="27"/>
      <c r="F35" s="27"/>
      <c r="G35" s="27"/>
      <c r="H35" s="27"/>
      <c r="I35" s="27"/>
      <c r="J35" s="27"/>
      <c r="K35" s="27"/>
      <c r="L35" s="25"/>
      <c r="M35" s="50"/>
      <c r="N35" s="50"/>
      <c r="O35" s="50"/>
    </row>
    <row r="36" spans="3:15" ht="12.75">
      <c r="C36" s="38"/>
      <c r="D36" s="38"/>
      <c r="E36" s="38"/>
      <c r="F36" s="38"/>
      <c r="G36" s="43" t="s">
        <v>1</v>
      </c>
      <c r="H36" s="38"/>
      <c r="I36" s="43" t="s">
        <v>2</v>
      </c>
      <c r="J36" s="38"/>
      <c r="K36" s="43" t="s">
        <v>3</v>
      </c>
      <c r="M36" s="2" t="s">
        <v>51</v>
      </c>
      <c r="N36" s="51"/>
      <c r="O36" s="2" t="s">
        <v>52</v>
      </c>
    </row>
    <row r="37" spans="3:11" ht="12.75">
      <c r="C37" s="38"/>
      <c r="D37" s="38"/>
      <c r="E37" s="38"/>
      <c r="F37" s="38"/>
      <c r="G37" s="38"/>
      <c r="H37" s="38"/>
      <c r="I37" s="38"/>
      <c r="J37" s="38"/>
      <c r="K37" s="38"/>
    </row>
    <row r="38" spans="2:11" ht="12.75">
      <c r="B38" s="3" t="s">
        <v>27</v>
      </c>
      <c r="C38" s="38"/>
      <c r="D38" s="38"/>
      <c r="E38" s="38"/>
      <c r="F38" s="38"/>
      <c r="G38" s="38"/>
      <c r="H38" s="38"/>
      <c r="I38" s="38"/>
      <c r="J38" s="38"/>
      <c r="K38" s="38"/>
    </row>
    <row r="39" spans="3:11" ht="12.75">
      <c r="C39" s="44" t="s">
        <v>28</v>
      </c>
      <c r="D39" s="38"/>
      <c r="E39" s="38"/>
      <c r="F39" s="38"/>
      <c r="G39" s="38"/>
      <c r="H39" s="38"/>
      <c r="I39" s="38"/>
      <c r="J39" s="38"/>
      <c r="K39" s="38"/>
    </row>
    <row r="40" spans="3:15" ht="12.75">
      <c r="C40" s="38"/>
      <c r="D40" s="38" t="s">
        <v>29</v>
      </c>
      <c r="E40" s="38"/>
      <c r="F40" s="38"/>
      <c r="G40" s="39">
        <v>3597196</v>
      </c>
      <c r="H40" s="38"/>
      <c r="I40" s="39">
        <f>G40/304</f>
        <v>11832.881578947368</v>
      </c>
      <c r="J40" s="38"/>
      <c r="K40" s="39">
        <f aca="true" t="shared" si="4" ref="K40:K48">I40*365</f>
        <v>4319001.77631579</v>
      </c>
      <c r="L40" s="4"/>
      <c r="M40" s="4">
        <f aca="true" t="shared" si="5" ref="M40:M48">K40/365</f>
        <v>11832.881578947368</v>
      </c>
      <c r="O40" s="4">
        <f aca="true" t="shared" si="6" ref="O40:O48">M40*49</f>
        <v>579811.197368421</v>
      </c>
    </row>
    <row r="41" spans="3:15" ht="12.75">
      <c r="C41" s="38"/>
      <c r="D41" s="38" t="s">
        <v>30</v>
      </c>
      <c r="E41" s="38"/>
      <c r="F41" s="38"/>
      <c r="G41" s="45">
        <v>3103488</v>
      </c>
      <c r="H41" s="38"/>
      <c r="I41" s="39">
        <f aca="true" t="shared" si="7" ref="I41:I48">G41/304</f>
        <v>10208.842105263158</v>
      </c>
      <c r="J41" s="38"/>
      <c r="K41" s="39">
        <f t="shared" si="4"/>
        <v>3726227.3684210526</v>
      </c>
      <c r="L41" s="4"/>
      <c r="M41" s="4">
        <f t="shared" si="5"/>
        <v>10208.842105263158</v>
      </c>
      <c r="O41" s="4">
        <f t="shared" si="6"/>
        <v>500233.2631578948</v>
      </c>
    </row>
    <row r="42" spans="3:15" ht="12.75">
      <c r="C42" s="38"/>
      <c r="D42" s="38" t="s">
        <v>31</v>
      </c>
      <c r="E42" s="38"/>
      <c r="F42" s="38"/>
      <c r="G42" s="45">
        <v>3731353</v>
      </c>
      <c r="H42" s="38"/>
      <c r="I42" s="39">
        <f t="shared" si="7"/>
        <v>12274.1875</v>
      </c>
      <c r="J42" s="38"/>
      <c r="K42" s="39">
        <f t="shared" si="4"/>
        <v>4480078.4375</v>
      </c>
      <c r="L42" s="4"/>
      <c r="M42" s="4">
        <f t="shared" si="5"/>
        <v>12274.1875</v>
      </c>
      <c r="O42" s="4">
        <f t="shared" si="6"/>
        <v>601435.1875</v>
      </c>
    </row>
    <row r="43" spans="3:15" ht="12.75">
      <c r="C43" s="38"/>
      <c r="D43" s="38" t="s">
        <v>32</v>
      </c>
      <c r="E43" s="38"/>
      <c r="F43" s="38"/>
      <c r="G43" s="45">
        <v>0</v>
      </c>
      <c r="H43" s="38"/>
      <c r="I43" s="39">
        <f t="shared" si="7"/>
        <v>0</v>
      </c>
      <c r="J43" s="38"/>
      <c r="K43" s="39">
        <f t="shared" si="4"/>
        <v>0</v>
      </c>
      <c r="L43" s="4"/>
      <c r="M43" s="4">
        <f t="shared" si="5"/>
        <v>0</v>
      </c>
      <c r="O43" s="4">
        <f t="shared" si="6"/>
        <v>0</v>
      </c>
    </row>
    <row r="44" spans="3:15" ht="12.75">
      <c r="C44" s="38"/>
      <c r="D44" s="38" t="s">
        <v>33</v>
      </c>
      <c r="E44" s="38"/>
      <c r="F44" s="38"/>
      <c r="G44" s="45">
        <v>0</v>
      </c>
      <c r="H44" s="38"/>
      <c r="I44" s="39">
        <f t="shared" si="7"/>
        <v>0</v>
      </c>
      <c r="J44" s="38"/>
      <c r="K44" s="39">
        <f t="shared" si="4"/>
        <v>0</v>
      </c>
      <c r="L44" s="4"/>
      <c r="M44" s="4">
        <f t="shared" si="5"/>
        <v>0</v>
      </c>
      <c r="O44" s="4">
        <f t="shared" si="6"/>
        <v>0</v>
      </c>
    </row>
    <row r="45" spans="3:15" ht="12.75">
      <c r="C45" s="38"/>
      <c r="D45" s="38" t="s">
        <v>34</v>
      </c>
      <c r="E45" s="38"/>
      <c r="F45" s="38"/>
      <c r="G45" s="45">
        <v>1708037</v>
      </c>
      <c r="H45" s="38"/>
      <c r="I45" s="39">
        <f t="shared" si="7"/>
        <v>5618.542763157895</v>
      </c>
      <c r="J45" s="38"/>
      <c r="K45" s="39">
        <f t="shared" si="4"/>
        <v>2050768.1085526317</v>
      </c>
      <c r="L45" s="4"/>
      <c r="M45" s="4">
        <f t="shared" si="5"/>
        <v>5618.542763157895</v>
      </c>
      <c r="O45" s="4">
        <f t="shared" si="6"/>
        <v>275308.59539473685</v>
      </c>
    </row>
    <row r="46" spans="3:15" ht="12.75">
      <c r="C46" s="38"/>
      <c r="D46" s="38" t="s">
        <v>35</v>
      </c>
      <c r="E46" s="38"/>
      <c r="F46" s="38"/>
      <c r="G46" s="45">
        <v>7120569</v>
      </c>
      <c r="H46" s="38"/>
      <c r="I46" s="39">
        <f t="shared" si="7"/>
        <v>23422.924342105263</v>
      </c>
      <c r="J46" s="38"/>
      <c r="K46" s="39">
        <f t="shared" si="4"/>
        <v>8549367.38486842</v>
      </c>
      <c r="L46" s="4"/>
      <c r="M46" s="4">
        <f t="shared" si="5"/>
        <v>23422.924342105263</v>
      </c>
      <c r="O46" s="4">
        <f t="shared" si="6"/>
        <v>1147723.292763158</v>
      </c>
    </row>
    <row r="47" spans="3:15" ht="12.75">
      <c r="C47" s="38"/>
      <c r="D47" s="38" t="s">
        <v>36</v>
      </c>
      <c r="E47" s="38"/>
      <c r="F47" s="38"/>
      <c r="G47" s="45">
        <v>3770264</v>
      </c>
      <c r="H47" s="38"/>
      <c r="I47" s="39">
        <f t="shared" si="7"/>
        <v>12402.184210526315</v>
      </c>
      <c r="J47" s="38"/>
      <c r="K47" s="39">
        <f t="shared" si="4"/>
        <v>4526797.236842105</v>
      </c>
      <c r="L47" s="4"/>
      <c r="M47" s="4">
        <f t="shared" si="5"/>
        <v>12402.184210526315</v>
      </c>
      <c r="O47" s="4">
        <f t="shared" si="6"/>
        <v>607707.0263157894</v>
      </c>
    </row>
    <row r="48" spans="3:15" ht="12.75">
      <c r="C48" s="38"/>
      <c r="D48" s="38" t="s">
        <v>37</v>
      </c>
      <c r="E48" s="38"/>
      <c r="F48" s="38"/>
      <c r="G48" s="45">
        <v>2542099</v>
      </c>
      <c r="H48" s="38"/>
      <c r="I48" s="39">
        <f t="shared" si="7"/>
        <v>8362.167763157895</v>
      </c>
      <c r="J48" s="38"/>
      <c r="K48" s="39">
        <f t="shared" si="4"/>
        <v>3052191.2335526315</v>
      </c>
      <c r="L48" s="4"/>
      <c r="M48" s="4">
        <f t="shared" si="5"/>
        <v>8362.167763157895</v>
      </c>
      <c r="O48" s="4">
        <f t="shared" si="6"/>
        <v>409746.22039473685</v>
      </c>
    </row>
    <row r="49" spans="3:12" ht="13.5" thickBot="1">
      <c r="C49" s="38"/>
      <c r="D49" s="38"/>
      <c r="E49" s="38"/>
      <c r="F49" s="38"/>
      <c r="G49" s="38"/>
      <c r="H49" s="38"/>
      <c r="I49" s="38"/>
      <c r="J49" s="38"/>
      <c r="K49" s="39"/>
      <c r="L49" s="4"/>
    </row>
    <row r="50" spans="3:15" ht="13.5" thickBot="1">
      <c r="C50" s="38"/>
      <c r="D50" s="29" t="s">
        <v>38</v>
      </c>
      <c r="E50" s="18"/>
      <c r="F50" s="18"/>
      <c r="G50" s="19">
        <f>SUM(G40:G48)</f>
        <v>25573006</v>
      </c>
      <c r="H50" s="18"/>
      <c r="I50" s="19">
        <f>G50/304</f>
        <v>84121.7302631579</v>
      </c>
      <c r="J50" s="18"/>
      <c r="K50" s="19">
        <f>I50*365</f>
        <v>30704431.54605263</v>
      </c>
      <c r="L50" s="19"/>
      <c r="M50" s="19">
        <f>K50/365</f>
        <v>84121.7302631579</v>
      </c>
      <c r="N50" s="19"/>
      <c r="O50" s="20">
        <f>M50*49</f>
        <v>4121964.7828947366</v>
      </c>
    </row>
    <row r="51" spans="3:12" ht="12.75">
      <c r="C51" s="38"/>
      <c r="D51" s="38"/>
      <c r="E51" s="38"/>
      <c r="F51" s="38"/>
      <c r="G51" s="38"/>
      <c r="H51" s="38"/>
      <c r="I51" s="38"/>
      <c r="J51" s="38"/>
      <c r="K51" s="39"/>
      <c r="L51" s="4"/>
    </row>
    <row r="52" spans="3:12" ht="12.75">
      <c r="C52" s="44" t="s">
        <v>39</v>
      </c>
      <c r="D52" s="38"/>
      <c r="E52" s="38"/>
      <c r="F52" s="38"/>
      <c r="G52" s="38"/>
      <c r="H52" s="38"/>
      <c r="I52" s="38"/>
      <c r="J52" s="38"/>
      <c r="K52" s="39"/>
      <c r="L52" s="4"/>
    </row>
    <row r="53" spans="3:15" ht="12.75">
      <c r="C53" s="38"/>
      <c r="D53" s="38" t="s">
        <v>40</v>
      </c>
      <c r="E53" s="38"/>
      <c r="F53" s="38"/>
      <c r="G53" s="39">
        <v>50332218</v>
      </c>
      <c r="H53" s="38"/>
      <c r="I53" s="39">
        <f aca="true" t="shared" si="8" ref="I53:I60">G53/304</f>
        <v>165566.50657894736</v>
      </c>
      <c r="J53" s="38"/>
      <c r="K53" s="39">
        <f aca="true" t="shared" si="9" ref="K53:K60">I53*365</f>
        <v>60431774.901315786</v>
      </c>
      <c r="L53" s="4"/>
      <c r="M53" s="4">
        <f aca="true" t="shared" si="10" ref="M53:M60">K53/365</f>
        <v>165566.50657894736</v>
      </c>
      <c r="O53" s="4">
        <f aca="true" t="shared" si="11" ref="O53:O60">M53*49</f>
        <v>8112758.822368421</v>
      </c>
    </row>
    <row r="54" spans="3:15" ht="12.75">
      <c r="C54" s="38"/>
      <c r="D54" s="38" t="s">
        <v>41</v>
      </c>
      <c r="E54" s="38"/>
      <c r="F54" s="38"/>
      <c r="G54" s="39">
        <v>4842130</v>
      </c>
      <c r="H54" s="38"/>
      <c r="I54" s="39">
        <f t="shared" si="8"/>
        <v>15928.059210526315</v>
      </c>
      <c r="J54" s="38"/>
      <c r="K54" s="39">
        <f t="shared" si="9"/>
        <v>5813741.611842105</v>
      </c>
      <c r="L54" s="4"/>
      <c r="M54" s="4">
        <f t="shared" si="10"/>
        <v>15928.059210526315</v>
      </c>
      <c r="O54" s="4">
        <f t="shared" si="11"/>
        <v>780474.9013157894</v>
      </c>
    </row>
    <row r="55" spans="3:15" ht="12.75">
      <c r="C55" s="38"/>
      <c r="D55" s="38" t="s">
        <v>42</v>
      </c>
      <c r="E55" s="38"/>
      <c r="F55" s="38"/>
      <c r="G55" s="39">
        <v>9156385</v>
      </c>
      <c r="H55" s="38"/>
      <c r="I55" s="39">
        <f t="shared" si="8"/>
        <v>30119.6875</v>
      </c>
      <c r="J55" s="38"/>
      <c r="K55" s="39">
        <f t="shared" si="9"/>
        <v>10993685.9375</v>
      </c>
      <c r="L55" s="4"/>
      <c r="M55" s="4">
        <f t="shared" si="10"/>
        <v>30119.6875</v>
      </c>
      <c r="O55" s="4">
        <f t="shared" si="11"/>
        <v>1475864.6875</v>
      </c>
    </row>
    <row r="56" spans="3:15" ht="12.75">
      <c r="C56" s="38"/>
      <c r="D56" s="38" t="s">
        <v>43</v>
      </c>
      <c r="E56" s="38"/>
      <c r="F56" s="38"/>
      <c r="G56" s="39">
        <v>11693480</v>
      </c>
      <c r="H56" s="38"/>
      <c r="I56" s="39">
        <f t="shared" si="8"/>
        <v>38465.39473684211</v>
      </c>
      <c r="J56" s="38"/>
      <c r="K56" s="39">
        <f t="shared" si="9"/>
        <v>14039869.078947369</v>
      </c>
      <c r="L56" s="4"/>
      <c r="M56" s="4">
        <f t="shared" si="10"/>
        <v>38465.39473684211</v>
      </c>
      <c r="O56" s="4">
        <f t="shared" si="11"/>
        <v>1884804.3421052631</v>
      </c>
    </row>
    <row r="57" spans="3:15" ht="12.75">
      <c r="C57" s="38"/>
      <c r="D57" s="38" t="s">
        <v>44</v>
      </c>
      <c r="E57" s="38"/>
      <c r="F57" s="38"/>
      <c r="G57" s="39">
        <v>18851508</v>
      </c>
      <c r="H57" s="38"/>
      <c r="I57" s="39">
        <f t="shared" si="8"/>
        <v>62011.53947368421</v>
      </c>
      <c r="J57" s="38"/>
      <c r="K57" s="39">
        <f t="shared" si="9"/>
        <v>22634211.907894738</v>
      </c>
      <c r="L57" s="4"/>
      <c r="M57" s="4">
        <f t="shared" si="10"/>
        <v>62011.53947368421</v>
      </c>
      <c r="O57" s="4">
        <f t="shared" si="11"/>
        <v>3038565.4342105263</v>
      </c>
    </row>
    <row r="58" spans="3:15" ht="12.75">
      <c r="C58" s="38"/>
      <c r="D58" s="38" t="s">
        <v>45</v>
      </c>
      <c r="E58" s="38"/>
      <c r="F58" s="38"/>
      <c r="G58" s="45">
        <v>0</v>
      </c>
      <c r="H58" s="38"/>
      <c r="I58" s="39">
        <f t="shared" si="8"/>
        <v>0</v>
      </c>
      <c r="J58" s="38"/>
      <c r="K58" s="39">
        <f t="shared" si="9"/>
        <v>0</v>
      </c>
      <c r="L58" s="4"/>
      <c r="M58" s="4">
        <f t="shared" si="10"/>
        <v>0</v>
      </c>
      <c r="O58" s="4">
        <f t="shared" si="11"/>
        <v>0</v>
      </c>
    </row>
    <row r="59" spans="3:15" ht="12.75">
      <c r="C59" s="38"/>
      <c r="D59" s="38" t="s">
        <v>46</v>
      </c>
      <c r="E59" s="38"/>
      <c r="F59" s="38"/>
      <c r="G59" s="45">
        <v>17283615</v>
      </c>
      <c r="H59" s="38"/>
      <c r="I59" s="39">
        <f t="shared" si="8"/>
        <v>56853.99671052631</v>
      </c>
      <c r="J59" s="38"/>
      <c r="K59" s="39">
        <f t="shared" si="9"/>
        <v>20751708.799342103</v>
      </c>
      <c r="L59" s="4"/>
      <c r="M59" s="4">
        <f t="shared" si="10"/>
        <v>56853.99671052631</v>
      </c>
      <c r="O59" s="4">
        <f t="shared" si="11"/>
        <v>2785845.838815789</v>
      </c>
    </row>
    <row r="60" spans="3:15" ht="12.75">
      <c r="C60" s="38"/>
      <c r="D60" s="38" t="s">
        <v>47</v>
      </c>
      <c r="E60" s="38"/>
      <c r="F60" s="38"/>
      <c r="G60" s="39">
        <v>11090571</v>
      </c>
      <c r="H60" s="38"/>
      <c r="I60" s="39">
        <f t="shared" si="8"/>
        <v>36482.14144736842</v>
      </c>
      <c r="J60" s="38"/>
      <c r="K60" s="39">
        <f t="shared" si="9"/>
        <v>13315981.628289474</v>
      </c>
      <c r="L60" s="4"/>
      <c r="M60" s="4">
        <f t="shared" si="10"/>
        <v>36482.14144736842</v>
      </c>
      <c r="O60" s="4">
        <f t="shared" si="11"/>
        <v>1787624.9309210526</v>
      </c>
    </row>
    <row r="61" spans="3:12" ht="13.5" thickBot="1">
      <c r="C61" s="38"/>
      <c r="D61" s="38"/>
      <c r="E61" s="38"/>
      <c r="F61" s="38"/>
      <c r="G61" s="38"/>
      <c r="H61" s="38"/>
      <c r="I61" s="38"/>
      <c r="J61" s="38"/>
      <c r="K61" s="39"/>
      <c r="L61" s="4"/>
    </row>
    <row r="62" spans="3:15" ht="13.5" thickBot="1">
      <c r="C62" s="38"/>
      <c r="D62" s="17" t="s">
        <v>48</v>
      </c>
      <c r="E62" s="18"/>
      <c r="F62" s="18"/>
      <c r="G62" s="19">
        <f>SUM(G53:G60)</f>
        <v>123249907</v>
      </c>
      <c r="H62" s="18"/>
      <c r="I62" s="19">
        <f>G62/304</f>
        <v>405427.3256578947</v>
      </c>
      <c r="J62" s="18"/>
      <c r="K62" s="19">
        <f>I62*365</f>
        <v>147980973.8651316</v>
      </c>
      <c r="L62" s="19"/>
      <c r="M62" s="19">
        <f>K62/365</f>
        <v>405427.3256578948</v>
      </c>
      <c r="N62" s="19"/>
      <c r="O62" s="20">
        <f>M62*49</f>
        <v>19865938.957236845</v>
      </c>
    </row>
    <row r="63" spans="3:11" ht="13.5" thickBot="1">
      <c r="C63" s="38"/>
      <c r="D63" s="38"/>
      <c r="E63" s="38"/>
      <c r="F63" s="38"/>
      <c r="G63" s="38"/>
      <c r="H63" s="38"/>
      <c r="I63" s="38"/>
      <c r="J63" s="38"/>
      <c r="K63" s="38"/>
    </row>
    <row r="64" spans="3:15" ht="13.5" thickBot="1">
      <c r="C64" s="30" t="s">
        <v>49</v>
      </c>
      <c r="D64" s="22"/>
      <c r="E64" s="22"/>
      <c r="F64" s="22"/>
      <c r="G64" s="23">
        <f>G50+G62</f>
        <v>148822913</v>
      </c>
      <c r="H64" s="22"/>
      <c r="I64" s="23">
        <f>G64/304</f>
        <v>489549.05592105264</v>
      </c>
      <c r="J64" s="22"/>
      <c r="K64" s="23">
        <f>I64*365</f>
        <v>178685405.41118422</v>
      </c>
      <c r="L64" s="22"/>
      <c r="M64" s="23">
        <f>K64/365</f>
        <v>489549.05592105264</v>
      </c>
      <c r="N64" s="23"/>
      <c r="O64" s="24">
        <f>M64*49</f>
        <v>23987903.74013158</v>
      </c>
    </row>
    <row r="65" spans="3:11" ht="12.75">
      <c r="C65" s="38"/>
      <c r="D65" s="38"/>
      <c r="E65" s="38"/>
      <c r="F65" s="38"/>
      <c r="G65" s="38"/>
      <c r="H65" s="38"/>
      <c r="I65" s="38"/>
      <c r="J65" s="38"/>
      <c r="K65" s="3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52"/>
  <sheetViews>
    <sheetView workbookViewId="0" topLeftCell="A1">
      <selection activeCell="A1" sqref="A1"/>
    </sheetView>
  </sheetViews>
  <sheetFormatPr defaultColWidth="9.140625" defaultRowHeight="12.75"/>
  <cols>
    <col min="1" max="1" width="33.57421875" style="0" bestFit="1" customWidth="1"/>
    <col min="2" max="2" width="16.00390625" style="0" bestFit="1" customWidth="1"/>
    <col min="3" max="3" width="39.57421875" style="0" bestFit="1" customWidth="1"/>
    <col min="5" max="5" width="24.8515625" style="0" bestFit="1" customWidth="1"/>
    <col min="7" max="7" width="14.421875" style="0" bestFit="1" customWidth="1"/>
    <col min="9" max="9" width="14.8515625" style="0" bestFit="1" customWidth="1"/>
  </cols>
  <sheetData>
    <row r="1" ht="12.75">
      <c r="A1" s="1" t="s">
        <v>53</v>
      </c>
    </row>
    <row r="3" spans="5:7" ht="12.75">
      <c r="E3" s="2" t="s">
        <v>50</v>
      </c>
      <c r="G3" s="2" t="s">
        <v>54</v>
      </c>
    </row>
    <row r="4" ht="12.75">
      <c r="B4" s="2" t="s">
        <v>55</v>
      </c>
    </row>
    <row r="5" spans="2:9" ht="12.75">
      <c r="B5" s="52"/>
      <c r="C5" t="s">
        <v>139</v>
      </c>
      <c r="E5" s="4">
        <f>Annualization!$K$33</f>
        <v>142916822.1875</v>
      </c>
      <c r="G5" s="4">
        <f>Annualization!$K$16</f>
        <v>7725106.134868421</v>
      </c>
      <c r="I5" s="4"/>
    </row>
    <row r="6" spans="2:9" ht="12.75">
      <c r="B6" s="52"/>
      <c r="C6" t="s">
        <v>56</v>
      </c>
      <c r="E6" s="4">
        <v>155125064</v>
      </c>
      <c r="G6" s="4">
        <v>2730671</v>
      </c>
      <c r="I6" s="4"/>
    </row>
    <row r="7" spans="3:7" ht="12.75">
      <c r="C7" t="s">
        <v>57</v>
      </c>
      <c r="E7" s="4">
        <f>E6-E5</f>
        <v>12208241.8125</v>
      </c>
      <c r="G7" s="4">
        <f>G6-G5</f>
        <v>-4994435.134868421</v>
      </c>
    </row>
    <row r="8" spans="3:7" ht="12.75">
      <c r="C8" t="s">
        <v>58</v>
      </c>
      <c r="E8" s="54">
        <f>(E6/E5)-1</f>
        <v>0.08542200719019188</v>
      </c>
      <c r="G8" s="54">
        <v>0</v>
      </c>
    </row>
    <row r="9" spans="3:7" ht="12.75">
      <c r="C9" t="s">
        <v>59</v>
      </c>
      <c r="E9" s="54">
        <f>(AVERAGE(0,49)/49)*E8</f>
        <v>0.04271100359509594</v>
      </c>
      <c r="G9" s="54">
        <f>(AVERAGE(0,49)/274)*G8</f>
        <v>0</v>
      </c>
    </row>
    <row r="10" spans="3:9" ht="13.5" thickBot="1">
      <c r="C10" t="s">
        <v>60</v>
      </c>
      <c r="E10" s="4">
        <f>E5*E9</f>
        <v>6104120.90625</v>
      </c>
      <c r="G10" s="4">
        <f>G5*G9</f>
        <v>0</v>
      </c>
      <c r="I10" s="4"/>
    </row>
    <row r="11" spans="3:16" ht="13.5" thickBot="1">
      <c r="C11" s="59" t="s">
        <v>67</v>
      </c>
      <c r="D11" s="35"/>
      <c r="E11" s="60">
        <f>E5+E10</f>
        <v>149020943.09375</v>
      </c>
      <c r="F11" s="35"/>
      <c r="G11" s="60">
        <f>G5+G10</f>
        <v>7725106.134868421</v>
      </c>
      <c r="H11" s="35"/>
      <c r="I11" s="37">
        <f>E11+G11</f>
        <v>156746049.2286184</v>
      </c>
      <c r="N11" s="4"/>
      <c r="O11" s="4"/>
      <c r="P11" s="4"/>
    </row>
    <row r="12" spans="3:16" ht="12.75">
      <c r="C12" t="s">
        <v>68</v>
      </c>
      <c r="E12" s="61">
        <f>E11/365</f>
        <v>408276.5564212329</v>
      </c>
      <c r="G12" s="61">
        <f>G11/365</f>
        <v>21164.674342105263</v>
      </c>
      <c r="I12" s="61">
        <f>I11/365</f>
        <v>429441.2307633381</v>
      </c>
      <c r="N12" s="4"/>
      <c r="O12" s="4"/>
      <c r="P12" s="4"/>
    </row>
    <row r="13" spans="14:16" ht="13.5" thickBot="1">
      <c r="N13" s="4"/>
      <c r="O13" s="4"/>
      <c r="P13" s="54"/>
    </row>
    <row r="14" spans="3:16" ht="13.5" thickBot="1">
      <c r="C14" s="55" t="s">
        <v>61</v>
      </c>
      <c r="D14" s="22"/>
      <c r="E14" s="56">
        <f>E12*49</f>
        <v>20005551.26464041</v>
      </c>
      <c r="F14" s="22"/>
      <c r="G14" s="56">
        <f>G12*49</f>
        <v>1037069.0427631579</v>
      </c>
      <c r="H14" s="22"/>
      <c r="I14" s="62">
        <f>I12*49</f>
        <v>21042620.30740357</v>
      </c>
      <c r="N14" s="4"/>
      <c r="O14" s="4"/>
      <c r="P14" s="54"/>
    </row>
    <row r="15" spans="14:16" ht="12.75">
      <c r="N15" s="4"/>
      <c r="O15" s="4"/>
      <c r="P15" s="54"/>
    </row>
    <row r="16" spans="2:16" ht="12.75">
      <c r="B16" s="2">
        <v>1999</v>
      </c>
      <c r="C16" s="2"/>
      <c r="N16" s="4"/>
      <c r="O16" s="4"/>
      <c r="P16" s="54"/>
    </row>
    <row r="17" spans="2:16" ht="12.75">
      <c r="B17" s="52"/>
      <c r="C17" t="s">
        <v>66</v>
      </c>
      <c r="E17" s="4"/>
      <c r="G17" s="4">
        <f>$G$11</f>
        <v>7725106.134868421</v>
      </c>
      <c r="I17" s="4"/>
      <c r="N17" s="4"/>
      <c r="O17" s="4"/>
      <c r="P17" s="4"/>
    </row>
    <row r="18" spans="2:16" ht="12.75">
      <c r="B18" s="52"/>
      <c r="C18" t="s">
        <v>69</v>
      </c>
      <c r="E18" s="53"/>
      <c r="G18" s="53">
        <v>10292000</v>
      </c>
      <c r="N18" s="4"/>
      <c r="O18" s="4"/>
      <c r="P18" s="4"/>
    </row>
    <row r="19" spans="3:16" ht="12.75">
      <c r="C19" t="s">
        <v>57</v>
      </c>
      <c r="E19" s="4"/>
      <c r="G19" s="4">
        <f>G18-G17</f>
        <v>2566893.8651315793</v>
      </c>
      <c r="N19" s="4"/>
      <c r="O19" s="4"/>
      <c r="P19" s="4"/>
    </row>
    <row r="20" spans="3:16" ht="12.75">
      <c r="C20" t="s">
        <v>58</v>
      </c>
      <c r="E20" s="54"/>
      <c r="G20" s="54">
        <f>(G18/G17)-1</f>
        <v>0.33227943025216455</v>
      </c>
      <c r="N20" s="4"/>
      <c r="O20" s="4"/>
      <c r="P20" s="4"/>
    </row>
    <row r="21" spans="3:16" ht="12.75">
      <c r="C21" t="s">
        <v>59</v>
      </c>
      <c r="E21" s="54"/>
      <c r="G21" s="54">
        <f>(AVERAGE(0,365)/(1.5*365))*G20</f>
        <v>0.11075981008405485</v>
      </c>
      <c r="N21" s="4"/>
      <c r="O21" s="4"/>
      <c r="P21" s="4"/>
    </row>
    <row r="22" spans="3:16" ht="12.75">
      <c r="C22" t="s">
        <v>60</v>
      </c>
      <c r="E22" s="4"/>
      <c r="G22" s="4">
        <f>G17*G21</f>
        <v>855631.2883771933</v>
      </c>
      <c r="I22" s="4"/>
      <c r="N22" s="4"/>
      <c r="O22" s="4"/>
      <c r="P22" s="4"/>
    </row>
    <row r="23" spans="14:16" ht="13.5" thickBot="1">
      <c r="N23" s="4"/>
      <c r="O23" s="4"/>
      <c r="P23" s="4"/>
    </row>
    <row r="24" spans="3:16" ht="13.5" thickBot="1">
      <c r="C24" s="55" t="s">
        <v>61</v>
      </c>
      <c r="D24" s="22"/>
      <c r="E24" s="56">
        <f>'[1]Revenue Summary'!$E$68</f>
        <v>162587960.4549948</v>
      </c>
      <c r="F24" s="22"/>
      <c r="G24" s="56">
        <f>G17+G22</f>
        <v>8580737.423245614</v>
      </c>
      <c r="H24" s="22"/>
      <c r="I24" s="24">
        <f>E24+G24</f>
        <v>171168697.8782404</v>
      </c>
      <c r="N24" s="4"/>
      <c r="O24" s="4"/>
      <c r="P24" s="4"/>
    </row>
    <row r="25" spans="14:16" ht="12.75">
      <c r="N25" s="4"/>
      <c r="O25" s="4"/>
      <c r="P25" s="4"/>
    </row>
    <row r="26" spans="2:16" ht="12.75">
      <c r="B26" s="2">
        <v>2000</v>
      </c>
      <c r="N26" s="4"/>
      <c r="O26" s="4"/>
      <c r="P26" s="4"/>
    </row>
    <row r="27" spans="2:16" ht="12.75">
      <c r="B27" s="2"/>
      <c r="C27" t="s">
        <v>66</v>
      </c>
      <c r="E27" s="4"/>
      <c r="G27" s="4">
        <v>7725106.134868421</v>
      </c>
      <c r="N27" s="4"/>
      <c r="O27" s="4"/>
      <c r="P27" s="4"/>
    </row>
    <row r="28" spans="2:16" ht="12.75">
      <c r="B28" s="2"/>
      <c r="C28" t="s">
        <v>69</v>
      </c>
      <c r="E28" s="53"/>
      <c r="G28" s="53">
        <v>10292000</v>
      </c>
      <c r="N28" s="4"/>
      <c r="O28" s="4"/>
      <c r="P28" s="4"/>
    </row>
    <row r="29" spans="2:16" ht="12.75">
      <c r="B29" s="2"/>
      <c r="C29" t="s">
        <v>57</v>
      </c>
      <c r="E29" s="4"/>
      <c r="G29" s="4">
        <f>G28-G27</f>
        <v>2566893.8651315793</v>
      </c>
      <c r="N29" s="4"/>
      <c r="O29" s="4"/>
      <c r="P29" s="4"/>
    </row>
    <row r="30" spans="2:16" ht="12.75">
      <c r="B30" s="2"/>
      <c r="C30" t="s">
        <v>58</v>
      </c>
      <c r="E30" s="54"/>
      <c r="G30" s="54">
        <f>(G28/G27)-1</f>
        <v>0.33227943025216455</v>
      </c>
      <c r="N30" s="4"/>
      <c r="O30" s="4"/>
      <c r="P30" s="4"/>
    </row>
    <row r="31" spans="2:7" ht="12.75">
      <c r="B31" s="2"/>
      <c r="C31" t="s">
        <v>136</v>
      </c>
      <c r="E31" s="54"/>
      <c r="G31" s="54">
        <f>(((365/547.5)*G30)-G21)+(((0.5*(547.5-365))/(1.5*365))*G30)</f>
        <v>0.16613971512608228</v>
      </c>
    </row>
    <row r="32" spans="2:7" ht="12.75">
      <c r="B32" s="2"/>
      <c r="C32" t="s">
        <v>60</v>
      </c>
      <c r="E32" s="4"/>
      <c r="G32" s="4">
        <f>G27*G30</f>
        <v>2566893.86513158</v>
      </c>
    </row>
    <row r="33" spans="2:7" ht="12.75">
      <c r="B33" s="2"/>
      <c r="C33" t="s">
        <v>62</v>
      </c>
      <c r="E33" s="4"/>
      <c r="G33" s="4">
        <f>G27+G32</f>
        <v>10292000</v>
      </c>
    </row>
    <row r="34" spans="3:7" ht="12.75">
      <c r="C34" t="s">
        <v>63</v>
      </c>
      <c r="E34" s="54"/>
      <c r="G34" s="54">
        <v>0</v>
      </c>
    </row>
    <row r="35" spans="3:9" ht="12.75">
      <c r="C35" t="s">
        <v>64</v>
      </c>
      <c r="E35" s="4"/>
      <c r="G35" s="4">
        <f>G33*G34</f>
        <v>0</v>
      </c>
      <c r="I35" s="4"/>
    </row>
    <row r="36" ht="13.5" thickBot="1"/>
    <row r="37" spans="3:9" ht="13.5" thickBot="1">
      <c r="C37" s="55" t="s">
        <v>61</v>
      </c>
      <c r="D37" s="22"/>
      <c r="E37" s="56">
        <f>'[1]Revenue Summary'!$G$68</f>
        <v>181038031.12359938</v>
      </c>
      <c r="F37" s="22"/>
      <c r="G37" s="56">
        <f>G33+G35</f>
        <v>10292000</v>
      </c>
      <c r="H37" s="22"/>
      <c r="I37" s="24">
        <f>E37+G37</f>
        <v>191330031.12359938</v>
      </c>
    </row>
    <row r="38" spans="3:9" ht="12.75">
      <c r="C38" s="32"/>
      <c r="D38" s="32"/>
      <c r="E38" s="57"/>
      <c r="F38" s="32"/>
      <c r="G38" s="57"/>
      <c r="H38" s="32"/>
      <c r="I38" s="33"/>
    </row>
    <row r="39" ht="12.75">
      <c r="B39" s="2">
        <v>2001</v>
      </c>
    </row>
    <row r="40" spans="3:9" ht="12.75">
      <c r="C40" t="s">
        <v>65</v>
      </c>
      <c r="E40" s="4"/>
      <c r="G40" s="4">
        <f>G37</f>
        <v>10292000</v>
      </c>
      <c r="I40" s="4"/>
    </row>
    <row r="41" spans="3:9" ht="12.75">
      <c r="C41" t="s">
        <v>137</v>
      </c>
      <c r="E41" s="4"/>
      <c r="G41" s="54">
        <f>G30-G21-G31</f>
        <v>0.055379905042027444</v>
      </c>
      <c r="I41" s="4"/>
    </row>
    <row r="42" spans="3:7" ht="12.75">
      <c r="C42" t="s">
        <v>63</v>
      </c>
      <c r="E42" s="54"/>
      <c r="G42" s="54">
        <f>(11277/10781)-1</f>
        <v>0.046006863927279484</v>
      </c>
    </row>
    <row r="43" spans="3:9" ht="12.75">
      <c r="C43" t="s">
        <v>60</v>
      </c>
      <c r="E43" s="4"/>
      <c r="G43" s="4">
        <f>G40*(G41+G42)</f>
        <v>1043472.6262321069</v>
      </c>
      <c r="I43" s="4"/>
    </row>
    <row r="44" ht="13.5" thickBot="1"/>
    <row r="45" spans="3:9" ht="13.5" thickBot="1">
      <c r="C45" s="55" t="s">
        <v>61</v>
      </c>
      <c r="D45" s="22"/>
      <c r="E45" s="56">
        <f>'[1]Revenue Summary'!$I$68</f>
        <v>202703867.01515603</v>
      </c>
      <c r="F45" s="22"/>
      <c r="G45" s="56">
        <f>G40+G43</f>
        <v>11335472.626232106</v>
      </c>
      <c r="H45" s="22"/>
      <c r="I45" s="24">
        <f>E45+G45</f>
        <v>214039339.64138815</v>
      </c>
    </row>
    <row r="46" spans="3:9" ht="12.75">
      <c r="C46" s="32"/>
      <c r="D46" s="32"/>
      <c r="E46" s="57"/>
      <c r="F46" s="32"/>
      <c r="G46" s="57"/>
      <c r="H46" s="32"/>
      <c r="I46" s="33"/>
    </row>
    <row r="47" spans="2:9" ht="12.75">
      <c r="B47" s="2">
        <v>2002</v>
      </c>
      <c r="C47" s="32"/>
      <c r="D47" s="32"/>
      <c r="E47" s="57"/>
      <c r="F47" s="32"/>
      <c r="G47" s="57"/>
      <c r="H47" s="32"/>
      <c r="I47" s="33"/>
    </row>
    <row r="48" spans="3:9" ht="12.75">
      <c r="C48" t="s">
        <v>65</v>
      </c>
      <c r="E48" s="4"/>
      <c r="G48" s="4">
        <f>G45</f>
        <v>11335472.626232106</v>
      </c>
      <c r="I48" s="4"/>
    </row>
    <row r="49" spans="3:7" ht="12.75">
      <c r="C49" t="s">
        <v>63</v>
      </c>
      <c r="E49" s="54"/>
      <c r="G49" s="54">
        <f>(11772/11277)-1</f>
        <v>0.043894652833200265</v>
      </c>
    </row>
    <row r="50" spans="3:9" ht="12.75">
      <c r="C50" t="s">
        <v>60</v>
      </c>
      <c r="E50" s="4"/>
      <c r="G50" s="4">
        <f>G48*G49</f>
        <v>497566.63562870317</v>
      </c>
      <c r="I50" s="4"/>
    </row>
    <row r="51" ht="13.5" thickBot="1"/>
    <row r="52" spans="3:9" ht="13.5" thickBot="1">
      <c r="C52" s="55" t="s">
        <v>61</v>
      </c>
      <c r="D52" s="22"/>
      <c r="E52" s="56">
        <f>'[1]Revenue Summary'!$K$68</f>
        <v>214608759.3621747</v>
      </c>
      <c r="F52" s="22"/>
      <c r="G52" s="56">
        <f>G48+G50</f>
        <v>11833039.26186081</v>
      </c>
      <c r="H52" s="22"/>
      <c r="I52" s="24">
        <f>E52+G52</f>
        <v>226441798.6240355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31.7109375" style="0" bestFit="1" customWidth="1"/>
    <col min="2" max="2" width="24.57421875" style="0" bestFit="1" customWidth="1"/>
    <col min="4" max="4" width="16.00390625" style="0" bestFit="1" customWidth="1"/>
    <col min="6" max="6" width="13.8515625" style="0" bestFit="1" customWidth="1"/>
    <col min="8" max="8" width="30.00390625" style="0" bestFit="1" customWidth="1"/>
    <col min="10" max="10" width="19.8515625" style="0" bestFit="1" customWidth="1"/>
    <col min="12" max="12" width="13.8515625" style="0" bestFit="1" customWidth="1"/>
  </cols>
  <sheetData>
    <row r="1" spans="1:12" ht="12.75">
      <c r="A1" s="1" t="s">
        <v>70</v>
      </c>
      <c r="D1" s="2">
        <v>1996</v>
      </c>
      <c r="F1" s="2">
        <v>1997</v>
      </c>
      <c r="H1" s="2" t="s">
        <v>71</v>
      </c>
      <c r="J1" s="2" t="s">
        <v>72</v>
      </c>
      <c r="K1" s="25"/>
      <c r="L1" s="63"/>
    </row>
    <row r="2" spans="11:12" ht="12.75">
      <c r="K2" s="25"/>
      <c r="L2" s="25"/>
    </row>
    <row r="3" spans="2:12" ht="12.75">
      <c r="B3" t="s">
        <v>29</v>
      </c>
      <c r="D3" s="4">
        <f>'[2]Repairs &amp; Maintenance'!D7</f>
        <v>3279588</v>
      </c>
      <c r="E3" s="4"/>
      <c r="F3" s="4">
        <f>'[2]Repairs &amp; Maintenance'!F7</f>
        <v>4552824</v>
      </c>
      <c r="G3" s="54"/>
      <c r="H3" s="4">
        <f>'[2]Repairs &amp; Maintenance'!H7</f>
        <v>5204400.48</v>
      </c>
      <c r="I3" s="54"/>
      <c r="J3" s="4">
        <f>'[2]Repairs &amp; Maintenance'!J7</f>
        <v>4830090.24</v>
      </c>
      <c r="K3" s="64"/>
      <c r="L3" s="64"/>
    </row>
    <row r="4" spans="2:12" ht="12.75">
      <c r="B4" t="s">
        <v>30</v>
      </c>
      <c r="D4" s="4">
        <f>'[2]Rents &amp; Leases'!D7</f>
        <v>2631672</v>
      </c>
      <c r="E4" s="4"/>
      <c r="F4" s="4">
        <f>'[2]Rents &amp; Leases'!F7</f>
        <v>2922744</v>
      </c>
      <c r="G4" s="54"/>
      <c r="H4" s="4">
        <f>'[2]Rents &amp; Leases'!H7</f>
        <v>2982505.08</v>
      </c>
      <c r="I4" s="54"/>
      <c r="J4" s="4">
        <f>'[2]Rents &amp; Leases'!J7</f>
        <v>3071979.12</v>
      </c>
      <c r="K4" s="64"/>
      <c r="L4" s="64"/>
    </row>
    <row r="5" spans="2:12" ht="12.75">
      <c r="B5" t="s">
        <v>31</v>
      </c>
      <c r="D5" s="4">
        <f>'[2]Utilities'!D7</f>
        <v>5080008</v>
      </c>
      <c r="E5" s="4"/>
      <c r="F5" s="4">
        <f>'[2]Utilities'!F7</f>
        <v>5201916</v>
      </c>
      <c r="G5" s="4"/>
      <c r="H5" s="4">
        <f>'[2]Utilities'!H7</f>
        <v>5225288.88</v>
      </c>
      <c r="I5" s="4"/>
      <c r="J5" s="4">
        <f>'[2]Utilities'!J7</f>
        <v>5382050.760000001</v>
      </c>
      <c r="K5" s="50"/>
      <c r="L5" s="64"/>
    </row>
    <row r="6" spans="2:12" ht="12.75">
      <c r="B6" t="s">
        <v>32</v>
      </c>
      <c r="D6" s="4">
        <v>0</v>
      </c>
      <c r="E6" s="4"/>
      <c r="F6" s="4">
        <v>0</v>
      </c>
      <c r="G6" s="4"/>
      <c r="H6" s="4">
        <f>+(41000/60)*365</f>
        <v>249416.6666666667</v>
      </c>
      <c r="I6" s="4"/>
      <c r="J6" s="4">
        <v>255000</v>
      </c>
      <c r="K6" s="50"/>
      <c r="L6" s="64"/>
    </row>
    <row r="7" spans="2:12" ht="12.75">
      <c r="B7" t="s">
        <v>33</v>
      </c>
      <c r="D7" s="4">
        <f>'[2]Marketing Expense'!D7</f>
        <v>0</v>
      </c>
      <c r="E7" s="4"/>
      <c r="F7" s="4">
        <f>'[2]Marketing Expense'!F7</f>
        <v>0</v>
      </c>
      <c r="G7" s="4"/>
      <c r="H7" s="4">
        <f>'[2]Marketing Expense'!H7</f>
        <v>1380204.12</v>
      </c>
      <c r="I7" s="4"/>
      <c r="J7" s="4">
        <f>'[2]Marketing Expense'!J7</f>
        <v>1421610.12</v>
      </c>
      <c r="K7" s="50"/>
      <c r="L7" s="64"/>
    </row>
    <row r="8" spans="2:12" ht="12.75">
      <c r="B8" t="s">
        <v>34</v>
      </c>
      <c r="D8" s="4">
        <f>'[2]Other Taxes (Real Estate)'!D7</f>
        <v>1325064</v>
      </c>
      <c r="E8" s="4"/>
      <c r="F8" s="4">
        <f>'[2]Other Taxes (Real Estate)'!F7</f>
        <v>1393848</v>
      </c>
      <c r="G8" s="4"/>
      <c r="H8" s="4">
        <f>'[2]Other Taxes (Real Estate)'!H7</f>
        <v>1439359.08</v>
      </c>
      <c r="I8" s="4"/>
      <c r="J8" s="4">
        <f>'[2]Other Taxes (Real Estate)'!J7</f>
        <v>1482544.92</v>
      </c>
      <c r="K8" s="50"/>
      <c r="L8" s="64"/>
    </row>
    <row r="9" spans="2:12" ht="12.75">
      <c r="B9" t="s">
        <v>35</v>
      </c>
      <c r="D9" s="4">
        <f>'[2]Insurance'!E17</f>
        <v>9084276</v>
      </c>
      <c r="E9" s="4"/>
      <c r="F9" s="4">
        <f>'[2]Insurance'!G17</f>
        <v>8470956</v>
      </c>
      <c r="G9" s="4"/>
      <c r="H9" s="4">
        <f>'[2]Insurance'!I17</f>
        <v>4017000</v>
      </c>
      <c r="I9" s="4"/>
      <c r="J9" s="4">
        <f>'[2]Insurance'!K17</f>
        <v>4202400</v>
      </c>
      <c r="K9" s="50"/>
      <c r="L9" s="64"/>
    </row>
    <row r="10" spans="2:12" ht="12.75">
      <c r="B10" t="s">
        <v>73</v>
      </c>
      <c r="D10" s="4">
        <v>0</v>
      </c>
      <c r="E10" s="4"/>
      <c r="F10" s="4">
        <v>0</v>
      </c>
      <c r="G10" s="4"/>
      <c r="H10" s="4">
        <f>(3912000/60)*365</f>
        <v>23798000</v>
      </c>
      <c r="I10" s="4"/>
      <c r="J10" s="4">
        <v>9083000</v>
      </c>
      <c r="K10" s="50"/>
      <c r="L10" s="64"/>
    </row>
    <row r="11" spans="2:12" ht="12.75">
      <c r="B11" t="s">
        <v>37</v>
      </c>
      <c r="D11" s="4">
        <f>'[2]Other Operating Expenses'!E16</f>
        <v>3073361.94</v>
      </c>
      <c r="E11" s="4"/>
      <c r="F11" s="4">
        <f>'[2]Other Operating Expenses'!G16</f>
        <v>5588075.46</v>
      </c>
      <c r="G11" s="4"/>
      <c r="H11" s="4">
        <f>'[2]Other Operating Expenses'!I16</f>
        <v>4340009.86</v>
      </c>
      <c r="I11" s="4"/>
      <c r="J11" s="4">
        <f>'[2]Other Operating Expenses'!K16</f>
        <v>4544180.58</v>
      </c>
      <c r="K11" s="50"/>
      <c r="L11" s="64"/>
    </row>
    <row r="12" spans="4:12" ht="13.5" thickBot="1">
      <c r="D12" s="4"/>
      <c r="E12" s="4"/>
      <c r="F12" s="4"/>
      <c r="G12" s="4"/>
      <c r="H12" s="4"/>
      <c r="K12" s="50"/>
      <c r="L12" s="50"/>
    </row>
    <row r="13" spans="2:12" ht="13.5" thickBot="1">
      <c r="B13" s="55" t="s">
        <v>74</v>
      </c>
      <c r="C13" s="22"/>
      <c r="D13" s="23">
        <f>SUM(D3:D11)</f>
        <v>24473969.94</v>
      </c>
      <c r="E13" s="23"/>
      <c r="F13" s="23">
        <f>SUM(F3:F11)</f>
        <v>28130363.46</v>
      </c>
      <c r="G13" s="23"/>
      <c r="H13" s="23">
        <f>SUM(H3:H11)</f>
        <v>48636184.166666664</v>
      </c>
      <c r="I13" s="22"/>
      <c r="J13" s="24">
        <f>SUM(J3:J11)</f>
        <v>34272855.74</v>
      </c>
      <c r="K13" s="50"/>
      <c r="L13" s="65"/>
    </row>
    <row r="14" spans="1:12" ht="12.75">
      <c r="A14" s="25"/>
      <c r="B14" s="25"/>
      <c r="C14" s="25"/>
      <c r="D14" s="25"/>
      <c r="E14" s="25"/>
      <c r="F14" s="25"/>
      <c r="G14" s="25"/>
      <c r="H14" s="25"/>
      <c r="I14" s="25"/>
      <c r="J14" s="25"/>
      <c r="K14" s="25"/>
      <c r="L14" s="25"/>
    </row>
    <row r="15" spans="1:12" ht="12.75">
      <c r="A15" s="25"/>
      <c r="B15" s="25"/>
      <c r="C15" s="25"/>
      <c r="D15" s="25"/>
      <c r="E15" s="25"/>
      <c r="F15" s="25"/>
      <c r="G15" s="25"/>
      <c r="H15" s="25"/>
      <c r="I15" s="25"/>
      <c r="J15" s="25"/>
      <c r="K15" s="25"/>
      <c r="L15" s="25"/>
    </row>
    <row r="16" spans="1:12" ht="12.75">
      <c r="A16" s="66" t="s">
        <v>75</v>
      </c>
      <c r="B16" s="7"/>
      <c r="C16" s="7"/>
      <c r="D16" s="67" t="s">
        <v>55</v>
      </c>
      <c r="E16" s="68"/>
      <c r="F16" s="67">
        <v>1999</v>
      </c>
      <c r="G16" s="68"/>
      <c r="H16" s="67">
        <v>2000</v>
      </c>
      <c r="I16" s="68"/>
      <c r="J16" s="67">
        <v>2001</v>
      </c>
      <c r="K16" s="68"/>
      <c r="L16" s="67">
        <v>2002</v>
      </c>
    </row>
    <row r="17" spans="1:12" ht="12.75">
      <c r="A17" s="7"/>
      <c r="B17" s="7"/>
      <c r="C17" s="7"/>
      <c r="D17" s="7"/>
      <c r="E17" s="7"/>
      <c r="F17" s="7"/>
      <c r="G17" s="7"/>
      <c r="H17" s="7"/>
      <c r="I17" s="7"/>
      <c r="J17" s="7"/>
      <c r="K17" s="7"/>
      <c r="L17" s="7"/>
    </row>
    <row r="18" spans="2:12" ht="12.75">
      <c r="B18" t="s">
        <v>29</v>
      </c>
      <c r="D18" s="4">
        <f>'[2]Fixed Expenses Summary'!D18</f>
        <v>698672.941150685</v>
      </c>
      <c r="E18" s="4"/>
      <c r="F18" s="4">
        <f>'[2]Fixed Expenses Summary'!F18</f>
        <v>4830090.24</v>
      </c>
      <c r="G18" s="4"/>
      <c r="H18" s="4">
        <f>'[2]Fixed Expenses Summary'!H18</f>
        <v>4974992.9472</v>
      </c>
      <c r="I18" s="4"/>
      <c r="J18" s="4">
        <f>'[2]Fixed Expenses Summary'!J18</f>
        <v>5124242.735616</v>
      </c>
      <c r="K18" s="4"/>
      <c r="L18" s="4">
        <f>'[2]Fixed Expenses Summary'!L18</f>
        <v>5277970.01768448</v>
      </c>
    </row>
    <row r="19" spans="2:12" ht="12.75">
      <c r="B19" t="s">
        <v>30</v>
      </c>
      <c r="D19" s="4">
        <f>'[2]Fixed Expenses Summary'!D19</f>
        <v>400391.09293150686</v>
      </c>
      <c r="E19" s="4"/>
      <c r="F19" s="4">
        <f>'[2]Fixed Expenses Summary'!F19</f>
        <v>3071979.12</v>
      </c>
      <c r="G19" s="4"/>
      <c r="H19" s="4">
        <f>'[2]Fixed Expenses Summary'!H19</f>
        <v>3164138.4936</v>
      </c>
      <c r="I19" s="4"/>
      <c r="J19" s="4">
        <f>'[2]Fixed Expenses Summary'!J19</f>
        <v>3259062.6484080004</v>
      </c>
      <c r="K19" s="4"/>
      <c r="L19" s="4">
        <f>'[2]Fixed Expenses Summary'!L19</f>
        <v>3356834.5278602405</v>
      </c>
    </row>
    <row r="20" spans="2:12" ht="12.75">
      <c r="B20" t="s">
        <v>31</v>
      </c>
      <c r="D20" s="4">
        <f>'[2]Fixed Expenses Summary'!D20</f>
        <v>649887.297859589</v>
      </c>
      <c r="E20" s="4"/>
      <c r="F20" s="4">
        <f>'[2]Fixed Expenses Summary'!F20</f>
        <v>5382047.5464</v>
      </c>
      <c r="G20" s="4"/>
      <c r="H20" s="4">
        <f>'[2]Fixed Expenses Summary'!H20</f>
        <v>5543508.9727920005</v>
      </c>
      <c r="I20" s="4"/>
      <c r="J20" s="4">
        <f>'[2]Fixed Expenses Summary'!J20</f>
        <v>5709814.241975761</v>
      </c>
      <c r="K20" s="4"/>
      <c r="L20" s="4">
        <f>'[2]Fixed Expenses Summary'!L20</f>
        <v>5881108.669235034</v>
      </c>
    </row>
    <row r="21" spans="2:12" ht="12.75">
      <c r="B21" t="s">
        <v>32</v>
      </c>
      <c r="D21" s="4">
        <f>'[2]Fixed Expenses Summary'!D21</f>
        <v>33483.333333333336</v>
      </c>
      <c r="E21" s="4"/>
      <c r="F21" s="4">
        <f>'[2]Fixed Expenses Summary'!F21</f>
        <v>256899.1666666667</v>
      </c>
      <c r="G21" s="4"/>
      <c r="H21" s="4">
        <f>'[2]Fixed Expenses Summary'!H21</f>
        <v>264606.1416666667</v>
      </c>
      <c r="I21" s="4"/>
      <c r="J21" s="4">
        <f>'[2]Fixed Expenses Summary'!J21</f>
        <v>272544.3259166667</v>
      </c>
      <c r="K21" s="4"/>
      <c r="L21" s="4">
        <f>'[2]Fixed Expenses Summary'!L21</f>
        <v>280720.6556941667</v>
      </c>
    </row>
    <row r="22" spans="2:12" ht="12.75">
      <c r="B22" t="s">
        <v>33</v>
      </c>
      <c r="D22" s="4">
        <f>'[2]Fixed Expenses Summary'!D22</f>
        <v>0</v>
      </c>
      <c r="E22" s="4"/>
      <c r="F22" s="4">
        <f>'[2]Fixed Expenses Summary'!F22</f>
        <v>1442000</v>
      </c>
      <c r="G22" s="4"/>
      <c r="H22" s="4">
        <f>'[2]Fixed Expenses Summary'!H22</f>
        <v>831725</v>
      </c>
      <c r="I22" s="4"/>
      <c r="J22" s="4">
        <f>'[2]Fixed Expenses Summary'!J22</f>
        <v>178190</v>
      </c>
      <c r="K22" s="4"/>
      <c r="L22" s="4">
        <f>'[2]Fixed Expenses Summary'!L22</f>
        <v>183535.7</v>
      </c>
    </row>
    <row r="23" spans="2:12" ht="12.75">
      <c r="B23" t="s">
        <v>34</v>
      </c>
      <c r="D23" s="4">
        <f>'[2]Fixed Expenses Summary'!D23</f>
        <v>193229.0271780822</v>
      </c>
      <c r="E23" s="4"/>
      <c r="F23" s="4">
        <f>'[2]Fixed Expenses Summary'!F23</f>
        <v>1482539.8524000002</v>
      </c>
      <c r="G23" s="4"/>
      <c r="H23" s="4">
        <f>'[2]Fixed Expenses Summary'!H23</f>
        <v>1527016.0479720002</v>
      </c>
      <c r="I23" s="4"/>
      <c r="J23" s="4">
        <f>'[2]Fixed Expenses Summary'!J23</f>
        <v>1572826.5294111602</v>
      </c>
      <c r="K23" s="4"/>
      <c r="L23" s="4">
        <f>'[2]Fixed Expenses Summary'!L23</f>
        <v>1620011.325293495</v>
      </c>
    </row>
    <row r="24" spans="2:12" ht="12.75">
      <c r="B24" t="s">
        <v>35</v>
      </c>
      <c r="D24" s="4">
        <f>'[2]Fixed Expenses Summary'!D24</f>
        <v>1147723.292763158</v>
      </c>
      <c r="E24" s="4"/>
      <c r="F24" s="4">
        <f>'[2]Fixed Expenses Summary'!F24</f>
        <v>4202400</v>
      </c>
      <c r="G24" s="4"/>
      <c r="H24" s="4">
        <f>'[2]Fixed Expenses Summary'!H24</f>
        <v>4397255.4</v>
      </c>
      <c r="I24" s="4"/>
      <c r="J24" s="4">
        <f>'[2]Fixed Expenses Summary'!J24</f>
        <v>4602083.466000001</v>
      </c>
      <c r="K24" s="4"/>
      <c r="L24" s="4">
        <f>'[2]Fixed Expenses Summary'!L24</f>
        <v>4817430.998220001</v>
      </c>
    </row>
    <row r="25" spans="2:12" ht="12.75">
      <c r="B25" t="s">
        <v>73</v>
      </c>
      <c r="D25" s="4">
        <f>'[2]Fixed Expenses Summary'!D25</f>
        <v>3194800</v>
      </c>
      <c r="E25" s="4"/>
      <c r="F25" s="4">
        <f>'[2]Fixed Expenses Summary'!F25</f>
        <v>9083000</v>
      </c>
      <c r="G25" s="4"/>
      <c r="H25" s="4">
        <f>'[2]Fixed Expenses Summary'!H25</f>
        <v>10652000</v>
      </c>
      <c r="I25" s="4"/>
      <c r="J25" s="4">
        <f>'[2]Fixed Expenses Summary'!J25</f>
        <v>11120000</v>
      </c>
      <c r="K25" s="4"/>
      <c r="L25" s="4">
        <f>'[2]Fixed Expenses Summary'!L25</f>
        <v>11586000</v>
      </c>
    </row>
    <row r="26" spans="2:12" ht="12.75">
      <c r="B26" t="s">
        <v>37</v>
      </c>
      <c r="D26" s="4">
        <f>'[2]Fixed Expenses Summary'!D26</f>
        <v>566960.6283842592</v>
      </c>
      <c r="E26" s="4"/>
      <c r="F26" s="4">
        <f>'[2]Fixed Expenses Summary'!F26</f>
        <v>4276492.5</v>
      </c>
      <c r="G26" s="4"/>
      <c r="H26" s="4">
        <f>'[2]Fixed Expenses Summary'!H26</f>
        <v>4567270.481690662</v>
      </c>
      <c r="I26" s="4"/>
      <c r="J26" s="4">
        <f>'[2]Fixed Expenses Summary'!J26</f>
        <v>4871957.722611567</v>
      </c>
      <c r="K26" s="4"/>
      <c r="L26" s="4">
        <f>'[2]Fixed Expenses Summary'!L26</f>
        <v>4950447.210294567</v>
      </c>
    </row>
    <row r="27" spans="4:12" ht="13.5" thickBot="1">
      <c r="D27" s="4"/>
      <c r="E27" s="4"/>
      <c r="F27" s="4"/>
      <c r="G27" s="4"/>
      <c r="H27" s="4"/>
      <c r="I27" s="4"/>
      <c r="J27" s="4"/>
      <c r="K27" s="4"/>
      <c r="L27" s="4"/>
    </row>
    <row r="28" spans="2:12" ht="13.5" thickBot="1">
      <c r="B28" s="55" t="s">
        <v>74</v>
      </c>
      <c r="C28" s="22"/>
      <c r="D28" s="23">
        <f>SUM(D18:D26)</f>
        <v>6885147.613600614</v>
      </c>
      <c r="E28" s="23"/>
      <c r="F28" s="23">
        <f>SUM(F18:F26)</f>
        <v>34027448.42546667</v>
      </c>
      <c r="G28" s="23"/>
      <c r="H28" s="23">
        <f>SUM(H18:H26)</f>
        <v>35922513.48492133</v>
      </c>
      <c r="I28" s="23"/>
      <c r="J28" s="23">
        <f>SUM(J18:J26)</f>
        <v>36710721.66993915</v>
      </c>
      <c r="K28" s="23"/>
      <c r="L28" s="24">
        <f>SUM(L18:L26)</f>
        <v>37954059.104281984</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30"/>
  <sheetViews>
    <sheetView zoomScale="75" zoomScaleNormal="75" workbookViewId="0" topLeftCell="A1">
      <selection activeCell="A1" sqref="A1"/>
    </sheetView>
  </sheetViews>
  <sheetFormatPr defaultColWidth="9.140625" defaultRowHeight="12.75"/>
  <cols>
    <col min="1" max="1" width="36.28125" style="0" bestFit="1" customWidth="1"/>
    <col min="2" max="2" width="37.28125" style="0" bestFit="1" customWidth="1"/>
    <col min="4" max="4" width="16.00390625" style="0" bestFit="1" customWidth="1"/>
    <col min="6" max="6" width="14.8515625" style="0" bestFit="1" customWidth="1"/>
    <col min="8" max="8" width="19.8515625" style="0" bestFit="1" customWidth="1"/>
    <col min="10" max="10" width="19.8515625" style="0" bestFit="1" customWidth="1"/>
    <col min="12" max="12" width="14.8515625" style="0" bestFit="1" customWidth="1"/>
  </cols>
  <sheetData>
    <row r="1" spans="1:12" ht="12.75">
      <c r="A1" s="1" t="s">
        <v>76</v>
      </c>
      <c r="D1" s="2">
        <v>1996</v>
      </c>
      <c r="F1" s="2">
        <v>1997</v>
      </c>
      <c r="H1" s="2" t="s">
        <v>77</v>
      </c>
      <c r="J1" s="2" t="s">
        <v>72</v>
      </c>
      <c r="K1" s="25"/>
      <c r="L1" s="69"/>
    </row>
    <row r="2" spans="11:12" ht="12.75">
      <c r="K2" s="25"/>
      <c r="L2" s="27"/>
    </row>
    <row r="3" spans="2:12" ht="12.75">
      <c r="B3" t="s">
        <v>40</v>
      </c>
      <c r="D3" s="4">
        <f>'[3]Salaries &amp; Wages'!E19</f>
        <v>68862435.2</v>
      </c>
      <c r="E3" s="4"/>
      <c r="F3" s="4">
        <f>'[3]Salaries &amp; Wages'!G19</f>
        <v>61784985.6</v>
      </c>
      <c r="G3" s="4"/>
      <c r="H3" s="4">
        <f>'[3]Salaries &amp; Wages'!I19</f>
        <v>63903990.400000006</v>
      </c>
      <c r="I3" s="4"/>
      <c r="J3" s="4">
        <f>'[3]Salaries &amp; Wages'!K19</f>
        <v>66176937.599999994</v>
      </c>
      <c r="K3" s="25"/>
      <c r="L3" s="65"/>
    </row>
    <row r="4" spans="2:12" ht="12.75">
      <c r="B4" t="s">
        <v>41</v>
      </c>
      <c r="D4" s="4">
        <f>'[3]Contract Labor'!E7</f>
        <v>1105362</v>
      </c>
      <c r="E4" s="4"/>
      <c r="F4" s="4">
        <f>'[3]Contract Labor'!G7</f>
        <v>3371562</v>
      </c>
      <c r="G4" s="4"/>
      <c r="H4" s="4">
        <f>'[3]Contract Labor'!I7</f>
        <v>3474000</v>
      </c>
      <c r="I4" s="4"/>
      <c r="J4" s="4">
        <f>'[3]Contract Labor'!K7</f>
        <v>3543000</v>
      </c>
      <c r="K4" s="25"/>
      <c r="L4" s="65"/>
    </row>
    <row r="5" spans="2:12" ht="12.75">
      <c r="B5" t="s">
        <v>42</v>
      </c>
      <c r="D5" s="4">
        <f>'[3]Employee Benefits'!D6</f>
        <v>14743447.37632</v>
      </c>
      <c r="E5" s="4"/>
      <c r="F5" s="4">
        <f>'[3]Employee Benefits'!F6</f>
        <v>12981025.47456</v>
      </c>
      <c r="G5" s="4"/>
      <c r="H5" s="4">
        <f>'[3]Employee Benefits'!H6</f>
        <v>12730798.080000002</v>
      </c>
      <c r="I5" s="4"/>
      <c r="J5" s="4">
        <f>'[3]Employee Benefits'!J6</f>
        <v>13111787.52</v>
      </c>
      <c r="K5" s="25"/>
      <c r="L5" s="65"/>
    </row>
    <row r="6" spans="2:12" ht="12.75">
      <c r="B6" t="s">
        <v>43</v>
      </c>
      <c r="D6" s="4">
        <f>'[3]Professional Fees'!E16</f>
        <v>32273516</v>
      </c>
      <c r="E6" s="4"/>
      <c r="F6" s="4">
        <f>'[3]Professional Fees'!G16</f>
        <v>12567533.19</v>
      </c>
      <c r="G6" s="4"/>
      <c r="H6" s="4">
        <f>'[3]Professional Fees'!I16</f>
        <v>12649632.610000001</v>
      </c>
      <c r="I6" s="4"/>
      <c r="J6" s="4">
        <f>'[3]Professional Fees'!K16</f>
        <v>13897813.92</v>
      </c>
      <c r="K6" s="25"/>
      <c r="L6" s="65"/>
    </row>
    <row r="7" spans="2:12" ht="12.75">
      <c r="B7" t="s">
        <v>44</v>
      </c>
      <c r="D7" s="4">
        <f>'[3]Supplies &amp; Other'!E16</f>
        <v>23365490.94</v>
      </c>
      <c r="E7" s="4"/>
      <c r="F7" s="4">
        <f>'[3]Supplies &amp; Other'!G16</f>
        <v>22116646.59</v>
      </c>
      <c r="G7" s="4"/>
      <c r="H7" s="4">
        <f>'[3]Supplies &amp; Other'!I16</f>
        <v>25090340.450000003</v>
      </c>
      <c r="I7" s="4"/>
      <c r="J7" s="4">
        <f>'[3]Supplies &amp; Other'!K16</f>
        <v>26623627.29</v>
      </c>
      <c r="K7" s="25"/>
      <c r="L7" s="65"/>
    </row>
    <row r="8" spans="2:12" ht="12.75">
      <c r="B8" t="s">
        <v>45</v>
      </c>
      <c r="D8" s="4">
        <f>'[3]Other Taxes (Sale &amp; Use)'!E24</f>
        <v>4679568</v>
      </c>
      <c r="E8" s="4"/>
      <c r="F8" s="4">
        <f>'[3]Other Taxes (Sale &amp; Use)'!G24</f>
        <v>1924032</v>
      </c>
      <c r="G8" s="4"/>
      <c r="H8" s="4">
        <f>'[3]Other Taxes (Sale &amp; Use)'!I24</f>
        <v>888795.24</v>
      </c>
      <c r="I8" s="4"/>
      <c r="J8" s="4">
        <f>'[3]Other Taxes (Sale &amp; Use)'!K24</f>
        <v>915455.76</v>
      </c>
      <c r="K8" s="25"/>
      <c r="L8" s="65"/>
    </row>
    <row r="9" spans="2:12" ht="12.75">
      <c r="B9" t="s">
        <v>46</v>
      </c>
      <c r="D9" s="4">
        <f>'[3]Contract Services'!E22</f>
        <v>20796649.74</v>
      </c>
      <c r="E9" s="4"/>
      <c r="F9" s="4">
        <f>'[3]Contract Services'!G22</f>
        <v>16776827.19</v>
      </c>
      <c r="G9" s="4"/>
      <c r="H9" s="4">
        <f>'[3]Contract Services'!I22</f>
        <v>22549959.77</v>
      </c>
      <c r="I9" s="4"/>
      <c r="J9" s="4">
        <f>'[3]Contract Services'!K22</f>
        <v>23026166.91</v>
      </c>
      <c r="K9" s="25"/>
      <c r="L9" s="65"/>
    </row>
    <row r="10" spans="2:12" ht="12.75">
      <c r="B10" t="s">
        <v>47</v>
      </c>
      <c r="D10" s="4">
        <f>'[3]Bad Debts'!E6</f>
        <v>7823894.5</v>
      </c>
      <c r="E10" s="4"/>
      <c r="F10" s="4">
        <f>'[3]Bad Debts'!G6</f>
        <v>6453402.2</v>
      </c>
      <c r="G10" s="4"/>
      <c r="H10" s="4">
        <f>'[3]Bad Debts'!I6</f>
        <v>6235315.5072</v>
      </c>
      <c r="I10" s="4"/>
      <c r="J10" s="4">
        <f>'[3]Bad Debts'!K6</f>
        <v>7925813.205</v>
      </c>
      <c r="K10" s="25"/>
      <c r="L10" s="65"/>
    </row>
    <row r="11" spans="4:12" ht="13.5" thickBot="1">
      <c r="D11" s="4"/>
      <c r="E11" s="4"/>
      <c r="F11" s="4"/>
      <c r="G11" s="4"/>
      <c r="H11" s="4"/>
      <c r="I11" s="4"/>
      <c r="J11" s="4"/>
      <c r="K11" s="25"/>
      <c r="L11" s="27"/>
    </row>
    <row r="12" spans="2:12" ht="13.5" thickBot="1">
      <c r="B12" s="55" t="s">
        <v>74</v>
      </c>
      <c r="C12" s="22"/>
      <c r="D12" s="23">
        <f>SUM(D3:D10)</f>
        <v>173650363.75632003</v>
      </c>
      <c r="E12" s="23"/>
      <c r="F12" s="23">
        <f>SUM(F3:F10)</f>
        <v>137976014.24456</v>
      </c>
      <c r="G12" s="23"/>
      <c r="H12" s="23">
        <f>SUM(H3:H10)</f>
        <v>147522832.0572</v>
      </c>
      <c r="I12" s="23"/>
      <c r="J12" s="24">
        <f>SUM(J3:J10)</f>
        <v>155220602.205</v>
      </c>
      <c r="K12" s="25"/>
      <c r="L12" s="65"/>
    </row>
    <row r="13" spans="1:12" ht="12.75">
      <c r="A13" s="25"/>
      <c r="B13" s="25"/>
      <c r="C13" s="25"/>
      <c r="D13" s="50"/>
      <c r="E13" s="50"/>
      <c r="F13" s="50"/>
      <c r="G13" s="50"/>
      <c r="H13" s="50"/>
      <c r="I13" s="50"/>
      <c r="J13" s="50"/>
      <c r="K13" s="25"/>
      <c r="L13" s="25"/>
    </row>
    <row r="14" spans="1:12" ht="12.75">
      <c r="A14" s="25"/>
      <c r="B14" s="25"/>
      <c r="C14" s="25"/>
      <c r="D14" s="25"/>
      <c r="E14" s="25"/>
      <c r="F14" s="25"/>
      <c r="G14" s="25"/>
      <c r="H14" s="25"/>
      <c r="I14" s="25"/>
      <c r="J14" s="25"/>
      <c r="K14" s="25"/>
      <c r="L14" s="25"/>
    </row>
    <row r="15" spans="1:12" ht="12.75">
      <c r="A15" s="70" t="s">
        <v>75</v>
      </c>
      <c r="D15" s="67" t="s">
        <v>55</v>
      </c>
      <c r="E15" s="68"/>
      <c r="F15" s="67">
        <v>1999</v>
      </c>
      <c r="G15" s="68"/>
      <c r="H15" s="67">
        <v>2000</v>
      </c>
      <c r="I15" s="68"/>
      <c r="J15" s="67">
        <v>2001</v>
      </c>
      <c r="K15" s="68"/>
      <c r="L15" s="67">
        <v>2002</v>
      </c>
    </row>
    <row r="17" spans="2:12" ht="12.75">
      <c r="B17" t="s">
        <v>50</v>
      </c>
      <c r="D17" s="4">
        <f>'Total Net Revenue'!$E$14</f>
        <v>20005551.26464041</v>
      </c>
      <c r="F17" s="4">
        <f>'[1]Revenue Summary'!E68</f>
        <v>162587960.4549948</v>
      </c>
      <c r="G17" s="4"/>
      <c r="H17" s="4">
        <f>'[1]Revenue Summary'!G68</f>
        <v>181038031.12359938</v>
      </c>
      <c r="I17" s="4"/>
      <c r="J17" s="4">
        <f>'[1]Revenue Summary'!I68</f>
        <v>202703867.01515603</v>
      </c>
      <c r="K17" s="4"/>
      <c r="L17" s="4">
        <f>'[1]Revenue Summary'!K68</f>
        <v>214608759.3621747</v>
      </c>
    </row>
    <row r="19" spans="2:12" ht="12.75">
      <c r="B19" t="s">
        <v>40</v>
      </c>
      <c r="D19" s="4">
        <f>'[4]Variable Expenses Summary'!D19</f>
        <v>8704816.438356165</v>
      </c>
      <c r="E19" s="4"/>
      <c r="F19" s="4">
        <f>'[4]Variable Expenses Summary'!F19</f>
        <v>66176937.599999994</v>
      </c>
      <c r="G19" s="4"/>
      <c r="H19" s="4">
        <f>'[4]Variable Expenses Summary'!H19</f>
        <v>68162245.728</v>
      </c>
      <c r="I19" s="4"/>
      <c r="J19" s="4">
        <f>'[4]Variable Expenses Summary'!J19</f>
        <v>71567842.03318495</v>
      </c>
      <c r="K19" s="4"/>
      <c r="L19" s="4">
        <f>'[4]Variable Expenses Summary'!L19</f>
        <v>75771054.66775101</v>
      </c>
    </row>
    <row r="20" spans="2:12" ht="12.75">
      <c r="B20" t="s">
        <v>41</v>
      </c>
      <c r="D20" s="4">
        <f>'[4]Variable Expenses Summary'!D20</f>
        <v>597047.6841511986</v>
      </c>
      <c r="E20" s="4"/>
      <c r="F20" s="4">
        <f>'[4]Variable Expenses Summary'!F20</f>
        <v>2965946.750825331</v>
      </c>
      <c r="G20" s="4"/>
      <c r="H20" s="4">
        <f>'[4]Variable Expenses Summary'!H20</f>
        <v>3302514.8890743665</v>
      </c>
      <c r="I20" s="4"/>
      <c r="J20" s="4">
        <f>'[4]Variable Expenses Summary'!J20</f>
        <v>3697745.3562421044</v>
      </c>
      <c r="K20" s="4"/>
      <c r="L20" s="4">
        <f>'[4]Variable Expenses Summary'!L20</f>
        <v>3914915.660099499</v>
      </c>
    </row>
    <row r="21" spans="2:12" ht="12.75">
      <c r="B21" t="s">
        <v>42</v>
      </c>
      <c r="D21" s="4">
        <f>'[4]Variable Expenses Summary'!D21</f>
        <v>1784922.6106849315</v>
      </c>
      <c r="E21" s="4"/>
      <c r="F21" s="4">
        <f>'[4]Variable Expenses Summary'!F21</f>
        <v>13235387.52</v>
      </c>
      <c r="G21" s="4"/>
      <c r="H21" s="4">
        <f>'[4]Variable Expenses Summary'!H21</f>
        <v>13632449.1456</v>
      </c>
      <c r="I21" s="4"/>
      <c r="J21" s="4">
        <f>'[4]Variable Expenses Summary'!J21</f>
        <v>14313568.40663699</v>
      </c>
      <c r="K21" s="4"/>
      <c r="L21" s="4">
        <f>'[4]Variable Expenses Summary'!L21</f>
        <v>15154210.933550203</v>
      </c>
    </row>
    <row r="22" spans="2:12" ht="12.75">
      <c r="B22" t="s">
        <v>43</v>
      </c>
      <c r="D22" s="4">
        <f>'[4]Variable Expenses Summary'!D22</f>
        <v>1682837.2517224175</v>
      </c>
      <c r="E22" s="4"/>
      <c r="F22" s="4">
        <f>'[4]Variable Expenses Summary'!F22</f>
        <v>12140339.999999998</v>
      </c>
      <c r="G22" s="4"/>
      <c r="H22" s="4">
        <f>'[4]Variable Expenses Summary'!H22</f>
        <v>13970585.957830844</v>
      </c>
      <c r="I22" s="4"/>
      <c r="J22" s="4">
        <f>'[4]Variable Expenses Summary'!J22</f>
        <v>15981141.899912111</v>
      </c>
      <c r="K22" s="4"/>
      <c r="L22" s="4">
        <f>'[4]Variable Expenses Summary'!L22</f>
        <v>17593340.683444902</v>
      </c>
    </row>
    <row r="23" spans="2:12" ht="12.75">
      <c r="B23" t="s">
        <v>44</v>
      </c>
      <c r="D23" s="4">
        <f>'[4]Variable Expenses Summary'!D23</f>
        <v>2742195.973873277</v>
      </c>
      <c r="E23" s="4"/>
      <c r="F23" s="4">
        <f>'[4]Variable Expenses Summary'!F23</f>
        <v>23798567.97</v>
      </c>
      <c r="G23" s="4"/>
      <c r="H23" s="4">
        <f>'[4]Variable Expenses Summary'!H23</f>
        <v>26227299.523545854</v>
      </c>
      <c r="I23" s="4"/>
      <c r="J23" s="4">
        <f>'[4]Variable Expenses Summary'!J23</f>
        <v>28783622.88318944</v>
      </c>
      <c r="K23" s="4"/>
      <c r="L23" s="4">
        <f>'[4]Variable Expenses Summary'!L23</f>
        <v>30599332.496606782</v>
      </c>
    </row>
    <row r="24" spans="2:12" ht="12.75">
      <c r="B24" t="s">
        <v>45</v>
      </c>
      <c r="D24" s="4">
        <f>'[4]Variable Expenses Summary'!D24</f>
        <v>119317.71715068493</v>
      </c>
      <c r="E24" s="4"/>
      <c r="F24" s="4">
        <f>'[4]Variable Expenses Summary'!F24</f>
        <v>915455.76</v>
      </c>
      <c r="G24" s="4"/>
      <c r="H24" s="4">
        <f>'[4]Variable Expenses Summary'!H24</f>
        <v>942919.4328000001</v>
      </c>
      <c r="I24" s="4"/>
      <c r="J24" s="4">
        <f>'[4]Variable Expenses Summary'!J24</f>
        <v>971207.0157840002</v>
      </c>
      <c r="K24" s="4"/>
      <c r="L24" s="4">
        <f>'[4]Variable Expenses Summary'!L24</f>
        <v>976033.8094884001</v>
      </c>
    </row>
    <row r="25" spans="2:12" ht="12.75">
      <c r="B25" t="s">
        <v>46</v>
      </c>
      <c r="D25" s="4">
        <f>'[4]Variable Expenses Summary'!D25</f>
        <v>3046059.8341439716</v>
      </c>
      <c r="E25" s="4"/>
      <c r="F25" s="4">
        <f>'[4]Variable Expenses Summary'!F25</f>
        <v>20594805.75</v>
      </c>
      <c r="G25" s="4"/>
      <c r="H25" s="4">
        <f>'[4]Variable Expenses Summary'!H25</f>
        <v>22640133.188292094</v>
      </c>
      <c r="I25" s="4"/>
      <c r="J25" s="4">
        <f>'[4]Variable Expenses Summary'!J25</f>
        <v>24715409.645497903</v>
      </c>
      <c r="K25" s="4"/>
      <c r="L25" s="4">
        <f>'[4]Variable Expenses Summary'!L25</f>
        <v>26221712.32068276</v>
      </c>
    </row>
    <row r="26" spans="2:12" ht="12.75">
      <c r="B26" t="s">
        <v>47</v>
      </c>
      <c r="D26" s="4">
        <f>'[4]Variable Expenses Summary'!D26</f>
        <v>1306567.7675536256</v>
      </c>
      <c r="E26" s="4"/>
      <c r="F26" s="4">
        <f>'[4]Variable Expenses Summary'!F26</f>
        <v>5749399.459404</v>
      </c>
      <c r="G26" s="4"/>
      <c r="H26" s="4">
        <f>'[4]Variable Expenses Summary'!H26</f>
        <v>6401826.773401849</v>
      </c>
      <c r="I26" s="4"/>
      <c r="J26" s="4">
        <f>'[4]Variable Expenses Summary'!J26</f>
        <v>7167969.26521896</v>
      </c>
      <c r="K26" s="4"/>
      <c r="L26" s="4">
        <f>'[4]Variable Expenses Summary'!L26</f>
        <v>7588947.432560927</v>
      </c>
    </row>
    <row r="27" spans="4:12" ht="13.5" thickBot="1">
      <c r="D27" s="4"/>
      <c r="E27" s="4"/>
      <c r="F27" s="4"/>
      <c r="G27" s="4"/>
      <c r="H27" s="4"/>
      <c r="I27" s="4"/>
      <c r="J27" s="4"/>
      <c r="K27" s="4"/>
      <c r="L27" s="4"/>
    </row>
    <row r="28" spans="2:12" ht="13.5" thickBot="1">
      <c r="B28" s="55" t="s">
        <v>74</v>
      </c>
      <c r="C28" s="22"/>
      <c r="D28" s="23">
        <f>SUM(D19:D26)</f>
        <v>19983765.277636267</v>
      </c>
      <c r="E28" s="23"/>
      <c r="F28" s="23">
        <f>SUM(F19:F26)</f>
        <v>145576840.8102293</v>
      </c>
      <c r="G28" s="23"/>
      <c r="H28" s="23">
        <f>SUM(H19:H26)</f>
        <v>155279974.638545</v>
      </c>
      <c r="I28" s="23"/>
      <c r="J28" s="23">
        <f>SUM(J19:J26)</f>
        <v>167198506.5056665</v>
      </c>
      <c r="K28" s="23"/>
      <c r="L28" s="24">
        <f>SUM(L19:L26)</f>
        <v>177819548.00418448</v>
      </c>
    </row>
    <row r="29" ht="13.5" thickBot="1"/>
    <row r="30" spans="2:12" ht="13.5" thickBot="1">
      <c r="B30" s="59" t="s">
        <v>78</v>
      </c>
      <c r="C30" s="35"/>
      <c r="D30" s="71">
        <f>D28/D17</f>
        <v>0.9989110029153434</v>
      </c>
      <c r="E30" s="35"/>
      <c r="F30" s="71">
        <f>F28/F17</f>
        <v>0.8953728209815741</v>
      </c>
      <c r="G30" s="35"/>
      <c r="H30" s="71">
        <f>H28/H17</f>
        <v>0.857720191027328</v>
      </c>
      <c r="I30" s="35"/>
      <c r="J30" s="71">
        <f>J28/J17</f>
        <v>0.8248412275882491</v>
      </c>
      <c r="K30" s="35"/>
      <c r="L30" s="72">
        <f>L28/L17</f>
        <v>0.8285754436709427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13"/>
  <sheetViews>
    <sheetView workbookViewId="0" topLeftCell="A1">
      <selection activeCell="A1" sqref="A1"/>
    </sheetView>
  </sheetViews>
  <sheetFormatPr defaultColWidth="9.140625" defaultRowHeight="12.75"/>
  <cols>
    <col min="1" max="1" width="25.57421875" style="0" bestFit="1" customWidth="1"/>
    <col min="3" max="3" width="32.00390625" style="0" bestFit="1" customWidth="1"/>
    <col min="5" max="5" width="16.00390625" style="0" bestFit="1" customWidth="1"/>
    <col min="7" max="7" width="15.00390625" style="0" bestFit="1" customWidth="1"/>
    <col min="9" max="9" width="15.00390625" style="0" bestFit="1" customWidth="1"/>
    <col min="11" max="11" width="15.00390625" style="0" bestFit="1" customWidth="1"/>
    <col min="13" max="13" width="14.421875" style="0" bestFit="1" customWidth="1"/>
  </cols>
  <sheetData>
    <row r="1" spans="1:14" ht="12.75">
      <c r="A1" s="1" t="s">
        <v>117</v>
      </c>
      <c r="E1" s="2" t="s">
        <v>55</v>
      </c>
      <c r="G1" s="2">
        <v>1999</v>
      </c>
      <c r="I1" s="2">
        <v>2000</v>
      </c>
      <c r="K1" s="2">
        <v>2001</v>
      </c>
      <c r="L1" s="2"/>
      <c r="M1" s="2">
        <v>2002</v>
      </c>
      <c r="N1" s="2"/>
    </row>
    <row r="3" spans="3:14" ht="12.75">
      <c r="C3" t="s">
        <v>87</v>
      </c>
      <c r="E3" s="61">
        <f>'Master Sheet'!F37</f>
        <v>-5826292.583833311</v>
      </c>
      <c r="F3" s="61"/>
      <c r="G3" s="61">
        <f>'Master Sheet'!H37</f>
        <v>-8435591.357455552</v>
      </c>
      <c r="H3" s="61"/>
      <c r="I3" s="61">
        <f>'Master Sheet'!J37</f>
        <v>127543.00013303757</v>
      </c>
      <c r="J3" s="61"/>
      <c r="K3" s="61">
        <f>'Master Sheet'!L37</f>
        <v>10130111.465782493</v>
      </c>
      <c r="L3" s="61"/>
      <c r="M3" s="61">
        <f>'Master Sheet'!N37</f>
        <v>10668191.515569031</v>
      </c>
      <c r="N3" s="61"/>
    </row>
    <row r="4" spans="3:14" ht="12.75">
      <c r="C4" t="s">
        <v>119</v>
      </c>
      <c r="E4" s="61">
        <v>0</v>
      </c>
      <c r="F4" s="61"/>
      <c r="G4" s="61">
        <f>$E$3</f>
        <v>-5826292.583833311</v>
      </c>
      <c r="H4" s="61"/>
      <c r="I4" s="61">
        <f>$G$6</f>
        <v>-14261883.941288862</v>
      </c>
      <c r="J4" s="61"/>
      <c r="K4" s="61">
        <f>$I$6</f>
        <v>-14134340.941155825</v>
      </c>
      <c r="L4" s="61"/>
      <c r="M4" s="61">
        <f>$K$6</f>
        <v>-4004229.4753733315</v>
      </c>
      <c r="N4" s="61"/>
    </row>
    <row r="5" spans="5:14" ht="12.75">
      <c r="E5" s="61"/>
      <c r="F5" s="61"/>
      <c r="G5" s="61"/>
      <c r="H5" s="61"/>
      <c r="I5" s="61"/>
      <c r="J5" s="61"/>
      <c r="K5" s="61"/>
      <c r="L5" s="61"/>
      <c r="M5" s="61"/>
      <c r="N5" s="61"/>
    </row>
    <row r="6" spans="3:14" ht="12.75">
      <c r="C6" t="s">
        <v>118</v>
      </c>
      <c r="E6" s="61">
        <f>E3-E4</f>
        <v>-5826292.583833311</v>
      </c>
      <c r="F6" s="61"/>
      <c r="G6" s="61">
        <f>G3+G4</f>
        <v>-14261883.941288862</v>
      </c>
      <c r="H6" s="61"/>
      <c r="I6" s="61">
        <f>I3+I4</f>
        <v>-14134340.941155825</v>
      </c>
      <c r="J6" s="61"/>
      <c r="K6" s="61">
        <f>K3+K4</f>
        <v>-4004229.4753733315</v>
      </c>
      <c r="L6" s="61"/>
      <c r="M6" s="61">
        <f>M3+M4</f>
        <v>6663962.0401957</v>
      </c>
      <c r="N6" s="61"/>
    </row>
    <row r="7" spans="5:14" ht="12.75">
      <c r="E7" s="61"/>
      <c r="F7" s="61"/>
      <c r="G7" s="61"/>
      <c r="H7" s="61"/>
      <c r="I7" s="61"/>
      <c r="J7" s="61"/>
      <c r="K7" s="61"/>
      <c r="L7" s="61"/>
      <c r="M7" s="61"/>
      <c r="N7" s="61"/>
    </row>
    <row r="8" spans="3:14" ht="12.75">
      <c r="C8" t="s">
        <v>141</v>
      </c>
      <c r="E8" s="54">
        <v>0</v>
      </c>
      <c r="F8" s="61"/>
      <c r="G8" s="54">
        <v>0</v>
      </c>
      <c r="H8" s="61"/>
      <c r="I8" s="54">
        <v>0</v>
      </c>
      <c r="J8" s="61"/>
      <c r="K8" s="54">
        <v>0</v>
      </c>
      <c r="L8" s="61"/>
      <c r="M8" s="54">
        <v>-0.048</v>
      </c>
      <c r="N8" s="54"/>
    </row>
    <row r="9" spans="3:14" ht="12.75">
      <c r="C9" t="s">
        <v>140</v>
      </c>
      <c r="E9" s="54">
        <v>0</v>
      </c>
      <c r="F9" s="61"/>
      <c r="G9" s="54">
        <v>0</v>
      </c>
      <c r="H9" s="61"/>
      <c r="I9" s="54">
        <v>0</v>
      </c>
      <c r="J9" s="61"/>
      <c r="K9" s="54">
        <v>0</v>
      </c>
      <c r="L9" s="61"/>
      <c r="M9" s="54">
        <v>-0.34</v>
      </c>
      <c r="N9" s="54"/>
    </row>
    <row r="10" spans="5:14" ht="13.5" thickBot="1">
      <c r="E10" s="61"/>
      <c r="F10" s="61"/>
      <c r="G10" s="61"/>
      <c r="H10" s="61"/>
      <c r="I10" s="61"/>
      <c r="J10" s="61"/>
      <c r="K10" s="61"/>
      <c r="L10" s="61"/>
      <c r="M10" s="61"/>
      <c r="N10" s="61"/>
    </row>
    <row r="11" spans="3:13" ht="13.5" thickBot="1">
      <c r="C11" s="59" t="s">
        <v>142</v>
      </c>
      <c r="D11" s="35"/>
      <c r="E11" s="71">
        <v>0</v>
      </c>
      <c r="F11" s="71"/>
      <c r="G11" s="71">
        <v>0</v>
      </c>
      <c r="H11" s="71"/>
      <c r="I11" s="71">
        <v>0</v>
      </c>
      <c r="J11" s="71"/>
      <c r="K11" s="71">
        <v>0</v>
      </c>
      <c r="L11" s="71"/>
      <c r="M11" s="72">
        <f>M8+M9</f>
        <v>-0.388</v>
      </c>
    </row>
    <row r="12" ht="13.5" thickBot="1"/>
    <row r="13" spans="3:13" ht="13.5" thickBot="1">
      <c r="C13" s="55" t="s">
        <v>90</v>
      </c>
      <c r="D13" s="22"/>
      <c r="E13" s="56">
        <f>E3*E11</f>
        <v>0</v>
      </c>
      <c r="F13" s="22"/>
      <c r="G13" s="56">
        <f>G3*G11</f>
        <v>0</v>
      </c>
      <c r="H13" s="22"/>
      <c r="I13" s="56">
        <f>I3*I11</f>
        <v>0</v>
      </c>
      <c r="J13" s="22"/>
      <c r="K13" s="56">
        <f>K3*K11</f>
        <v>0</v>
      </c>
      <c r="L13" s="22"/>
      <c r="M13" s="62">
        <f>M3*M11</f>
        <v>-4139258.308040784</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M10"/>
  <sheetViews>
    <sheetView workbookViewId="0" topLeftCell="A1">
      <selection activeCell="A1" sqref="A1"/>
    </sheetView>
  </sheetViews>
  <sheetFormatPr defaultColWidth="9.140625" defaultRowHeight="12.75"/>
  <cols>
    <col min="1" max="1" width="36.140625" style="0" bestFit="1" customWidth="1"/>
    <col min="2" max="2" width="37.421875" style="0" bestFit="1" customWidth="1"/>
    <col min="3" max="3" width="19.421875" style="0" bestFit="1" customWidth="1"/>
    <col min="5" max="5" width="16.00390625" style="0" bestFit="1" customWidth="1"/>
    <col min="7" max="7" width="14.8515625" style="0" bestFit="1" customWidth="1"/>
    <col min="9" max="9" width="14.8515625" style="0" bestFit="1" customWidth="1"/>
    <col min="11" max="11" width="14.8515625" style="0" bestFit="1" customWidth="1"/>
    <col min="13" max="13" width="14.8515625" style="0" bestFit="1" customWidth="1"/>
  </cols>
  <sheetData>
    <row r="1" spans="1:13" ht="12.75">
      <c r="A1" s="1" t="s">
        <v>98</v>
      </c>
      <c r="E1" s="2" t="s">
        <v>55</v>
      </c>
      <c r="G1" s="2">
        <v>1999</v>
      </c>
      <c r="I1" s="2">
        <v>2000</v>
      </c>
      <c r="K1" s="2">
        <v>2001</v>
      </c>
      <c r="L1" s="2"/>
      <c r="M1" s="2">
        <v>2002</v>
      </c>
    </row>
    <row r="3" spans="2:13" ht="12.75">
      <c r="B3" s="32" t="s">
        <v>22</v>
      </c>
      <c r="C3" s="32"/>
      <c r="D3" s="32"/>
      <c r="E3" s="33">
        <f>'Total Net Revenue'!$I$14</f>
        <v>21042620.30740357</v>
      </c>
      <c r="F3" s="33"/>
      <c r="G3" s="33">
        <f>'Total Net Revenue'!$I$24</f>
        <v>171168697.8782404</v>
      </c>
      <c r="H3" s="33"/>
      <c r="I3" s="33">
        <f>'Total Net Revenue'!$I$37</f>
        <v>191330031.12359938</v>
      </c>
      <c r="J3" s="33"/>
      <c r="K3" s="33">
        <f>'Total Net Revenue'!$I$45</f>
        <v>214039339.64138815</v>
      </c>
      <c r="L3" s="33"/>
      <c r="M3" s="33">
        <f>'Total Net Revenue'!$I$52</f>
        <v>226441798.6240355</v>
      </c>
    </row>
    <row r="4" spans="2:13" ht="12.75">
      <c r="B4" t="s">
        <v>100</v>
      </c>
      <c r="E4" s="54">
        <v>0.1</v>
      </c>
      <c r="F4" s="54"/>
      <c r="G4" s="54">
        <v>0.1</v>
      </c>
      <c r="H4" s="54"/>
      <c r="I4" s="54">
        <v>0.1</v>
      </c>
      <c r="J4" s="54"/>
      <c r="K4" s="54">
        <v>0.1</v>
      </c>
      <c r="L4" s="54"/>
      <c r="M4" s="54">
        <v>0.1</v>
      </c>
    </row>
    <row r="5" spans="5:13" ht="13.5" thickBot="1">
      <c r="E5" s="54"/>
      <c r="F5" s="54"/>
      <c r="G5" s="54"/>
      <c r="H5" s="54"/>
      <c r="I5" s="54"/>
      <c r="J5" s="54"/>
      <c r="K5" s="54"/>
      <c r="L5" s="54"/>
      <c r="M5" s="54"/>
    </row>
    <row r="6" spans="2:13" ht="13.5" thickBot="1">
      <c r="B6" s="17" t="s">
        <v>101</v>
      </c>
      <c r="C6" s="18"/>
      <c r="D6" s="18"/>
      <c r="E6" s="19">
        <f>E3*E4</f>
        <v>2104262.030740357</v>
      </c>
      <c r="F6" s="19"/>
      <c r="G6" s="19">
        <f>G3*G4</f>
        <v>17116869.787824042</v>
      </c>
      <c r="H6" s="19"/>
      <c r="I6" s="19">
        <f>I3*I4</f>
        <v>19133003.112359937</v>
      </c>
      <c r="J6" s="19"/>
      <c r="K6" s="19">
        <f>K3*K4</f>
        <v>21403933.964138817</v>
      </c>
      <c r="L6" s="19"/>
      <c r="M6" s="20">
        <f>M3*M4</f>
        <v>22644179.862403553</v>
      </c>
    </row>
    <row r="7" spans="2:13" ht="12.75">
      <c r="B7" t="s">
        <v>102</v>
      </c>
      <c r="E7" s="4">
        <f>(15511196/365)*49</f>
        <v>2082324.9424657535</v>
      </c>
      <c r="F7" s="4"/>
      <c r="G7" s="4">
        <f>(E6/49)*365</f>
        <v>15674604.922861842</v>
      </c>
      <c r="H7" s="4"/>
      <c r="I7" s="4">
        <f>$G$6</f>
        <v>17116869.787824042</v>
      </c>
      <c r="J7" s="4"/>
      <c r="K7" s="4">
        <f>$I$6</f>
        <v>19133003.112359937</v>
      </c>
      <c r="L7" s="4"/>
      <c r="M7" s="4">
        <f>$K$6</f>
        <v>21403933.964138817</v>
      </c>
    </row>
    <row r="8" spans="5:13" ht="13.5" thickBot="1">
      <c r="E8" s="4"/>
      <c r="F8" s="4"/>
      <c r="G8" s="4"/>
      <c r="H8" s="4"/>
      <c r="I8" s="4"/>
      <c r="J8" s="4"/>
      <c r="K8" s="4"/>
      <c r="L8" s="4"/>
      <c r="M8" s="4"/>
    </row>
    <row r="9" spans="2:13" ht="13.5" thickBot="1">
      <c r="B9" s="81" t="s">
        <v>99</v>
      </c>
      <c r="C9" s="56"/>
      <c r="D9" s="56"/>
      <c r="E9" s="56">
        <f>E7-E6</f>
        <v>-21937.088274603477</v>
      </c>
      <c r="F9" s="56"/>
      <c r="G9" s="56">
        <f>G7-G6</f>
        <v>-1442264.8649621997</v>
      </c>
      <c r="H9" s="56"/>
      <c r="I9" s="56">
        <f>I7-I6</f>
        <v>-2016133.3245358951</v>
      </c>
      <c r="J9" s="56"/>
      <c r="K9" s="56">
        <f>K7-K6</f>
        <v>-2270930.8517788798</v>
      </c>
      <c r="L9" s="56"/>
      <c r="M9" s="62">
        <f>M7-M6</f>
        <v>-1240245.898264736</v>
      </c>
    </row>
    <row r="10" spans="5:13" ht="12.75">
      <c r="E10" s="4"/>
      <c r="F10" s="4"/>
      <c r="G10" s="4"/>
      <c r="H10" s="4"/>
      <c r="I10" s="4"/>
      <c r="J10" s="4"/>
      <c r="K10" s="4"/>
      <c r="L10" s="4"/>
      <c r="M10" s="4"/>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1" max="1" width="37.00390625" style="0" bestFit="1" customWidth="1"/>
    <col min="2" max="2" width="28.7109375" style="0" bestFit="1" customWidth="1"/>
    <col min="4" max="4" width="33.140625" style="0" bestFit="1" customWidth="1"/>
    <col min="6" max="6" width="15.140625" style="0" bestFit="1" customWidth="1"/>
    <col min="8" max="8" width="31.00390625" style="0" bestFit="1" customWidth="1"/>
    <col min="10" max="10" width="9.00390625" style="0" customWidth="1"/>
  </cols>
  <sheetData>
    <row r="1" ht="12.75">
      <c r="A1" s="1" t="s">
        <v>103</v>
      </c>
    </row>
    <row r="2" ht="12.75">
      <c r="A2" s="5" t="s">
        <v>113</v>
      </c>
    </row>
    <row r="3" ht="12.75">
      <c r="A3" s="1"/>
    </row>
    <row r="4" spans="1:8" ht="12.75">
      <c r="A4" s="70" t="s">
        <v>115</v>
      </c>
      <c r="D4" s="3" t="s">
        <v>111</v>
      </c>
      <c r="F4" s="3" t="s">
        <v>4</v>
      </c>
      <c r="H4" s="3" t="s">
        <v>112</v>
      </c>
    </row>
    <row r="5" ht="12.75">
      <c r="A5" s="1"/>
    </row>
    <row r="6" spans="1:9" ht="12.75">
      <c r="A6" s="1"/>
      <c r="B6" t="s">
        <v>105</v>
      </c>
      <c r="D6" s="61">
        <v>-1200000</v>
      </c>
      <c r="E6" s="61"/>
      <c r="F6" s="61"/>
      <c r="G6" s="61"/>
      <c r="H6" s="61">
        <f>$D$6</f>
        <v>-1200000</v>
      </c>
      <c r="I6" s="61"/>
    </row>
    <row r="7" spans="1:9" ht="12.75">
      <c r="A7" s="1"/>
      <c r="B7" t="s">
        <v>107</v>
      </c>
      <c r="D7" s="61">
        <v>-2500000</v>
      </c>
      <c r="E7" s="61"/>
      <c r="F7" s="61"/>
      <c r="G7" s="61"/>
      <c r="H7" s="61">
        <f>$D$7</f>
        <v>-2500000</v>
      </c>
      <c r="I7" s="61"/>
    </row>
    <row r="8" spans="1:9" ht="12.75">
      <c r="A8" s="1"/>
      <c r="B8" t="s">
        <v>108</v>
      </c>
      <c r="D8" s="61">
        <v>0</v>
      </c>
      <c r="E8" s="61"/>
      <c r="F8" s="61"/>
      <c r="G8" s="61"/>
      <c r="H8" s="61">
        <f>$D$8</f>
        <v>0</v>
      </c>
      <c r="I8" s="61"/>
    </row>
    <row r="9" spans="1:9" ht="12.75">
      <c r="A9" s="1"/>
      <c r="B9" t="s">
        <v>109</v>
      </c>
      <c r="D9" s="61">
        <v>-2500000</v>
      </c>
      <c r="E9" s="61"/>
      <c r="F9" s="61">
        <f>(D9/(49+365))*49</f>
        <v>-295893.7198067633</v>
      </c>
      <c r="G9" s="61"/>
      <c r="H9" s="61">
        <f>$F$9</f>
        <v>-295893.7198067633</v>
      </c>
      <c r="I9" s="61"/>
    </row>
    <row r="10" spans="1:9" ht="12.75">
      <c r="A10" s="1"/>
      <c r="B10" t="s">
        <v>110</v>
      </c>
      <c r="D10" s="61">
        <v>0</v>
      </c>
      <c r="E10" s="61"/>
      <c r="F10" s="61"/>
      <c r="G10" s="61"/>
      <c r="H10" s="61">
        <f>$F$10</f>
        <v>0</v>
      </c>
      <c r="I10" s="61"/>
    </row>
    <row r="11" spans="1:9" ht="12.75">
      <c r="A11" s="1"/>
      <c r="B11" t="s">
        <v>106</v>
      </c>
      <c r="D11" s="61">
        <v>-2000000</v>
      </c>
      <c r="E11" s="61"/>
      <c r="F11" s="61">
        <f>(D11/(49+365))*49</f>
        <v>-236714.97584541063</v>
      </c>
      <c r="G11" s="61"/>
      <c r="H11" s="61">
        <f>$F$11</f>
        <v>-236714.97584541063</v>
      </c>
      <c r="I11" s="61"/>
    </row>
    <row r="12" spans="1:9" ht="12.75">
      <c r="A12" s="1"/>
      <c r="B12" t="s">
        <v>104</v>
      </c>
      <c r="D12" s="61">
        <v>-4000000</v>
      </c>
      <c r="E12" s="61"/>
      <c r="F12" s="61">
        <f>(D12/365)*49</f>
        <v>-536986.301369863</v>
      </c>
      <c r="G12" s="61"/>
      <c r="H12" s="61">
        <f>$F$12</f>
        <v>-536986.301369863</v>
      </c>
      <c r="I12" s="61"/>
    </row>
    <row r="13" spans="1:9" ht="13.5" thickBot="1">
      <c r="A13" s="1"/>
      <c r="D13" s="61"/>
      <c r="E13" s="61"/>
      <c r="F13" s="61"/>
      <c r="G13" s="61"/>
      <c r="H13" s="61"/>
      <c r="I13" s="61"/>
    </row>
    <row r="14" spans="1:9" ht="13.5" thickBot="1">
      <c r="A14" s="1"/>
      <c r="B14" s="55" t="s">
        <v>114</v>
      </c>
      <c r="C14" s="22"/>
      <c r="D14" s="56">
        <f>SUM(D6:D12)</f>
        <v>-12200000</v>
      </c>
      <c r="E14" s="56"/>
      <c r="F14" s="56"/>
      <c r="G14" s="56"/>
      <c r="H14" s="62">
        <f>SUM(H6:H12)</f>
        <v>-4769594.997022036</v>
      </c>
      <c r="I14" s="61"/>
    </row>
    <row r="15" spans="1:9" ht="12.75">
      <c r="A15" s="1"/>
      <c r="D15" s="61"/>
      <c r="E15" s="61"/>
      <c r="F15" s="61"/>
      <c r="G15" s="61"/>
      <c r="H15" s="61"/>
      <c r="I15" s="61"/>
    </row>
    <row r="16" spans="1:9" ht="12.75">
      <c r="A16" s="70" t="s">
        <v>116</v>
      </c>
      <c r="D16" s="79" t="s">
        <v>111</v>
      </c>
      <c r="E16" s="61"/>
      <c r="F16" s="79" t="s">
        <v>4</v>
      </c>
      <c r="G16" s="61"/>
      <c r="H16" s="90" t="s">
        <v>145</v>
      </c>
      <c r="I16" s="61"/>
    </row>
    <row r="17" spans="1:9" ht="12.75">
      <c r="A17" s="1"/>
      <c r="D17" s="61"/>
      <c r="E17" s="61"/>
      <c r="F17" s="61"/>
      <c r="G17" s="61"/>
      <c r="H17" s="61"/>
      <c r="I17" s="61"/>
    </row>
    <row r="18" spans="1:11" ht="12.75">
      <c r="A18" s="1"/>
      <c r="B18" t="s">
        <v>105</v>
      </c>
      <c r="D18" s="61">
        <v>0</v>
      </c>
      <c r="E18" s="61"/>
      <c r="F18" s="61"/>
      <c r="G18" s="61"/>
      <c r="H18" s="61">
        <f>$D$18</f>
        <v>0</v>
      </c>
      <c r="I18" s="57"/>
      <c r="J18" s="32"/>
      <c r="K18" s="32"/>
    </row>
    <row r="19" spans="2:11" ht="12.75">
      <c r="B19" t="s">
        <v>107</v>
      </c>
      <c r="D19" s="61">
        <v>-9000000</v>
      </c>
      <c r="E19" s="61"/>
      <c r="F19" s="61"/>
      <c r="G19" s="61"/>
      <c r="H19" s="61">
        <f>$D$19</f>
        <v>-9000000</v>
      </c>
      <c r="I19" s="57"/>
      <c r="J19" s="32"/>
      <c r="K19" s="32"/>
    </row>
    <row r="20" spans="2:11" ht="12.75">
      <c r="B20" t="s">
        <v>108</v>
      </c>
      <c r="D20" s="61">
        <v>-6000000</v>
      </c>
      <c r="E20" s="61"/>
      <c r="F20" s="61">
        <v>0</v>
      </c>
      <c r="G20" s="61"/>
      <c r="H20" s="61">
        <f>$F$20</f>
        <v>0</v>
      </c>
      <c r="I20" s="80"/>
      <c r="J20" s="32"/>
      <c r="K20" s="32"/>
    </row>
    <row r="21" spans="2:11" ht="12.75">
      <c r="B21" t="s">
        <v>109</v>
      </c>
      <c r="D21" s="61">
        <v>0</v>
      </c>
      <c r="E21" s="61"/>
      <c r="F21" s="61">
        <f>D9-F9</f>
        <v>-2204106.2801932367</v>
      </c>
      <c r="G21" s="61"/>
      <c r="H21" s="61">
        <f>$F$21</f>
        <v>-2204106.2801932367</v>
      </c>
      <c r="I21" s="57"/>
      <c r="J21" s="32"/>
      <c r="K21" s="32"/>
    </row>
    <row r="22" spans="2:11" ht="12.75">
      <c r="B22" t="s">
        <v>110</v>
      </c>
      <c r="D22" s="61">
        <v>-1000000</v>
      </c>
      <c r="E22" s="61"/>
      <c r="F22" s="61">
        <v>0</v>
      </c>
      <c r="G22" s="61"/>
      <c r="H22" s="61">
        <f>$F$22</f>
        <v>0</v>
      </c>
      <c r="I22" s="57"/>
      <c r="J22" s="32"/>
      <c r="K22" s="32"/>
    </row>
    <row r="23" spans="2:11" ht="12.75">
      <c r="B23" t="s">
        <v>106</v>
      </c>
      <c r="D23" s="61">
        <v>0</v>
      </c>
      <c r="E23" s="61"/>
      <c r="F23" s="61">
        <f>D11-F11</f>
        <v>-1763285.0241545893</v>
      </c>
      <c r="G23" s="61"/>
      <c r="H23" s="61">
        <f>$F$23</f>
        <v>-1763285.0241545893</v>
      </c>
      <c r="I23" s="57"/>
      <c r="J23" s="32"/>
      <c r="K23" s="32"/>
    </row>
    <row r="24" spans="2:11" ht="12.75">
      <c r="B24" t="s">
        <v>104</v>
      </c>
      <c r="D24" s="61">
        <v>-4000000</v>
      </c>
      <c r="E24" s="61"/>
      <c r="F24" s="61"/>
      <c r="G24" s="61"/>
      <c r="H24" s="61">
        <f>$D$24</f>
        <v>-4000000</v>
      </c>
      <c r="I24" s="57"/>
      <c r="J24" s="32"/>
      <c r="K24" s="32"/>
    </row>
    <row r="25" spans="4:11" ht="13.5" thickBot="1">
      <c r="D25" s="61"/>
      <c r="E25" s="61"/>
      <c r="F25" s="61"/>
      <c r="G25" s="61"/>
      <c r="H25" s="61"/>
      <c r="I25" s="57"/>
      <c r="J25" s="32"/>
      <c r="K25" s="32"/>
    </row>
    <row r="26" spans="2:11" ht="13.5" thickBot="1">
      <c r="B26" s="55" t="s">
        <v>114</v>
      </c>
      <c r="C26" s="22"/>
      <c r="D26" s="56">
        <f>SUM(D18:D24)</f>
        <v>-20000000</v>
      </c>
      <c r="E26" s="56"/>
      <c r="F26" s="56"/>
      <c r="G26" s="56"/>
      <c r="H26" s="62">
        <f>SUM(H18:H24)</f>
        <v>-16967391.304347824</v>
      </c>
      <c r="I26" s="57"/>
      <c r="J26" s="32"/>
      <c r="K26" s="32"/>
    </row>
    <row r="27" spans="2:11" ht="12.75">
      <c r="B27" s="32"/>
      <c r="C27" s="32"/>
      <c r="D27" s="57"/>
      <c r="E27" s="57"/>
      <c r="F27" s="57"/>
      <c r="G27" s="57"/>
      <c r="H27" s="57"/>
      <c r="I27" s="57"/>
      <c r="J27" s="32"/>
      <c r="K27" s="32"/>
    </row>
    <row r="28" spans="2:11" ht="12.75">
      <c r="B28" s="32"/>
      <c r="C28" s="78"/>
      <c r="D28" s="57"/>
      <c r="E28" s="57"/>
      <c r="F28" s="57"/>
      <c r="G28" s="57"/>
      <c r="H28" s="57"/>
      <c r="I28" s="57"/>
      <c r="J28" s="32"/>
      <c r="K28" s="32"/>
    </row>
    <row r="29" spans="2:11" ht="12.75">
      <c r="B29" s="32"/>
      <c r="C29" s="78"/>
      <c r="D29" s="32"/>
      <c r="E29" s="32"/>
      <c r="F29" s="33"/>
      <c r="G29" s="32"/>
      <c r="H29" s="32"/>
      <c r="I29" s="77"/>
      <c r="J29" s="32"/>
      <c r="K29" s="32"/>
    </row>
    <row r="30" spans="2:11" ht="12.75">
      <c r="B30" s="32"/>
      <c r="C30" s="78"/>
      <c r="D30" s="32"/>
      <c r="E30" s="32"/>
      <c r="F30" s="33"/>
      <c r="G30" s="32"/>
      <c r="H30" s="32"/>
      <c r="I30" s="32"/>
      <c r="J30" s="32"/>
      <c r="K30" s="32"/>
    </row>
    <row r="31" spans="2:11" ht="12.75">
      <c r="B31" s="32"/>
      <c r="C31" s="32"/>
      <c r="D31" s="32"/>
      <c r="E31" s="32"/>
      <c r="F31" s="33"/>
      <c r="G31" s="32"/>
      <c r="H31" s="32"/>
      <c r="I31" s="32"/>
      <c r="J31" s="32"/>
      <c r="K31" s="32"/>
    </row>
    <row r="32" spans="2:11" ht="12.75">
      <c r="B32" s="32"/>
      <c r="C32" s="32"/>
      <c r="D32" s="32"/>
      <c r="E32" s="32"/>
      <c r="F32" s="33"/>
      <c r="G32" s="32"/>
      <c r="H32" s="32"/>
      <c r="I32" s="32"/>
      <c r="J32" s="32"/>
      <c r="K32" s="32"/>
    </row>
    <row r="33" spans="2:11" ht="12.75">
      <c r="B33" s="32"/>
      <c r="C33" s="77"/>
      <c r="D33" s="32"/>
      <c r="E33" s="32"/>
      <c r="F33" s="33"/>
      <c r="G33" s="32"/>
      <c r="H33" s="32"/>
      <c r="I33" s="32"/>
      <c r="J33" s="32"/>
      <c r="K33" s="32"/>
    </row>
    <row r="34" spans="2:11" ht="12.75">
      <c r="B34" s="32"/>
      <c r="C34" s="77"/>
      <c r="D34" s="32"/>
      <c r="E34" s="32"/>
      <c r="F34" s="33"/>
      <c r="G34" s="32"/>
      <c r="H34" s="32"/>
      <c r="I34" s="32"/>
      <c r="J34" s="32"/>
      <c r="K34" s="32"/>
    </row>
    <row r="35" spans="2:11" ht="12.75">
      <c r="B35" s="32"/>
      <c r="C35" s="32"/>
      <c r="D35" s="32"/>
      <c r="E35" s="32"/>
      <c r="F35" s="33"/>
      <c r="G35" s="32"/>
      <c r="H35" s="32"/>
      <c r="I35" s="32"/>
      <c r="J35" s="32"/>
      <c r="K35" s="32"/>
    </row>
    <row r="36" spans="2:11" ht="12.75">
      <c r="B36" s="32"/>
      <c r="C36" s="32"/>
      <c r="D36" s="32"/>
      <c r="E36" s="32"/>
      <c r="F36" s="33"/>
      <c r="G36" s="32"/>
      <c r="H36" s="32"/>
      <c r="I36" s="32"/>
      <c r="J36" s="32"/>
      <c r="K36" s="32"/>
    </row>
    <row r="37" spans="2:11" ht="12.75">
      <c r="B37" s="32"/>
      <c r="C37" s="32"/>
      <c r="D37" s="32"/>
      <c r="E37" s="32"/>
      <c r="F37" s="33"/>
      <c r="G37" s="32"/>
      <c r="H37" s="32"/>
      <c r="I37" s="32"/>
      <c r="J37" s="32"/>
      <c r="K37" s="32"/>
    </row>
    <row r="38" spans="2:11" ht="12.75">
      <c r="B38" s="32"/>
      <c r="C38" s="77"/>
      <c r="D38" s="32"/>
      <c r="E38" s="32"/>
      <c r="F38" s="33"/>
      <c r="G38" s="32"/>
      <c r="H38" s="32"/>
      <c r="I38" s="32"/>
      <c r="J38" s="32"/>
      <c r="K38" s="32"/>
    </row>
    <row r="39" spans="2:11" ht="12.75">
      <c r="B39" s="32"/>
      <c r="C39" s="76"/>
      <c r="D39" s="32"/>
      <c r="E39" s="32"/>
      <c r="F39" s="33"/>
      <c r="G39" s="32"/>
      <c r="H39" s="32"/>
      <c r="I39" s="32"/>
      <c r="J39" s="32"/>
      <c r="K39" s="32"/>
    </row>
    <row r="40" spans="2:11" ht="12.75">
      <c r="B40" s="32"/>
      <c r="C40" s="32"/>
      <c r="D40" s="32"/>
      <c r="E40" s="32"/>
      <c r="F40" s="33"/>
      <c r="G40" s="32"/>
      <c r="H40" s="32"/>
      <c r="I40" s="32"/>
      <c r="J40" s="32"/>
      <c r="K40" s="32"/>
    </row>
    <row r="41" spans="2:11" ht="12.75">
      <c r="B41" s="32"/>
      <c r="C41" s="32"/>
      <c r="D41" s="32"/>
      <c r="E41" s="32"/>
      <c r="F41" s="33"/>
      <c r="G41" s="32"/>
      <c r="H41" s="32"/>
      <c r="I41" s="32"/>
      <c r="J41" s="32"/>
      <c r="K41" s="32"/>
    </row>
    <row r="42" spans="2:11" ht="12.75">
      <c r="B42" s="32"/>
      <c r="C42" s="32"/>
      <c r="D42" s="32"/>
      <c r="E42" s="32"/>
      <c r="F42" s="33"/>
      <c r="G42" s="32"/>
      <c r="H42" s="32"/>
      <c r="I42" s="32"/>
      <c r="J42" s="32"/>
      <c r="K42" s="32"/>
    </row>
    <row r="43" spans="2:11" ht="12.75">
      <c r="B43" s="32"/>
      <c r="C43" s="32"/>
      <c r="D43" s="32"/>
      <c r="E43" s="32"/>
      <c r="F43" s="33"/>
      <c r="G43" s="32"/>
      <c r="H43" s="32"/>
      <c r="I43" s="32"/>
      <c r="J43" s="32"/>
      <c r="K43" s="32"/>
    </row>
    <row r="44" spans="2:11" ht="12.75">
      <c r="B44" s="32"/>
      <c r="C44" s="32"/>
      <c r="D44" s="32"/>
      <c r="E44" s="32"/>
      <c r="F44" s="33"/>
      <c r="G44" s="32"/>
      <c r="H44" s="32"/>
      <c r="I44" s="32"/>
      <c r="J44" s="32"/>
      <c r="K44" s="32"/>
    </row>
    <row r="45" spans="2:11" ht="12.75">
      <c r="B45" s="32"/>
      <c r="C45" s="32"/>
      <c r="D45" s="32"/>
      <c r="E45" s="32"/>
      <c r="F45" s="33"/>
      <c r="G45" s="32"/>
      <c r="H45" s="32"/>
      <c r="I45" s="32"/>
      <c r="J45" s="32"/>
      <c r="K45" s="32"/>
    </row>
    <row r="46" spans="2:11" ht="12.75">
      <c r="B46" s="32"/>
      <c r="C46" s="32"/>
      <c r="D46" s="32"/>
      <c r="E46" s="32"/>
      <c r="F46" s="33"/>
      <c r="G46" s="32"/>
      <c r="H46" s="32"/>
      <c r="I46" s="32"/>
      <c r="J46" s="32"/>
      <c r="K46" s="32"/>
    </row>
    <row r="47" spans="2:11" ht="12.75">
      <c r="B47" s="32"/>
      <c r="C47" s="32"/>
      <c r="D47" s="32"/>
      <c r="E47" s="32"/>
      <c r="F47" s="33"/>
      <c r="G47" s="32"/>
      <c r="H47" s="32"/>
      <c r="I47" s="32"/>
      <c r="J47" s="32"/>
      <c r="K47" s="32"/>
    </row>
    <row r="48" spans="2:11" ht="12.75">
      <c r="B48" s="32"/>
      <c r="C48" s="32"/>
      <c r="D48" s="32"/>
      <c r="E48" s="32"/>
      <c r="F48" s="33"/>
      <c r="G48" s="32"/>
      <c r="H48" s="32"/>
      <c r="I48" s="32"/>
      <c r="J48" s="32"/>
      <c r="K48" s="32"/>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M28"/>
  <sheetViews>
    <sheetView workbookViewId="0" topLeftCell="A1">
      <selection activeCell="C23" sqref="C23"/>
    </sheetView>
  </sheetViews>
  <sheetFormatPr defaultColWidth="9.140625" defaultRowHeight="12.75"/>
  <cols>
    <col min="1" max="1" width="19.421875" style="0" bestFit="1" customWidth="1"/>
    <col min="3" max="3" width="36.7109375" style="0" bestFit="1" customWidth="1"/>
    <col min="5" max="5" width="16.00390625" style="0" bestFit="1" customWidth="1"/>
  </cols>
  <sheetData>
    <row r="1" spans="1:13" ht="12.75">
      <c r="A1" s="1" t="s">
        <v>122</v>
      </c>
      <c r="B1" s="1"/>
      <c r="E1" s="2" t="s">
        <v>55</v>
      </c>
      <c r="G1" s="2">
        <v>1999</v>
      </c>
      <c r="H1" s="51"/>
      <c r="I1" s="2">
        <v>2000</v>
      </c>
      <c r="J1" s="51"/>
      <c r="K1" s="2">
        <v>2001</v>
      </c>
      <c r="L1" s="51"/>
      <c r="M1" s="2">
        <v>2002</v>
      </c>
    </row>
    <row r="3" spans="3:13" ht="12.75">
      <c r="C3" t="s">
        <v>123</v>
      </c>
      <c r="E3" s="54">
        <v>0.0546</v>
      </c>
      <c r="F3" s="51"/>
      <c r="G3" s="54">
        <v>0.0546</v>
      </c>
      <c r="I3" s="54">
        <v>0.0546</v>
      </c>
      <c r="K3" s="54">
        <v>0.0546</v>
      </c>
      <c r="M3" s="54">
        <v>0.0546</v>
      </c>
    </row>
    <row r="4" spans="3:13" ht="12.75">
      <c r="C4" t="s">
        <v>132</v>
      </c>
      <c r="E4" s="54">
        <v>0.078</v>
      </c>
      <c r="G4" s="54">
        <v>0.078</v>
      </c>
      <c r="I4" s="54">
        <v>0.078</v>
      </c>
      <c r="K4" s="54">
        <v>0.078</v>
      </c>
      <c r="M4" s="54">
        <v>0.078</v>
      </c>
    </row>
    <row r="5" spans="5:13" ht="13.5" thickBot="1">
      <c r="E5" s="54"/>
      <c r="G5" s="54"/>
      <c r="I5" s="54"/>
      <c r="K5" s="54"/>
      <c r="M5" s="54"/>
    </row>
    <row r="6" spans="3:13" ht="13.5" thickBot="1">
      <c r="C6" s="10" t="s">
        <v>147</v>
      </c>
      <c r="D6" s="11"/>
      <c r="E6" s="91">
        <f>E3+E4</f>
        <v>0.1326</v>
      </c>
      <c r="F6" s="11"/>
      <c r="G6" s="91">
        <f>G3+G4</f>
        <v>0.1326</v>
      </c>
      <c r="H6" s="11"/>
      <c r="I6" s="91">
        <f>I3+I4</f>
        <v>0.1326</v>
      </c>
      <c r="J6" s="11"/>
      <c r="K6" s="91">
        <f>K3+K4</f>
        <v>0.1326</v>
      </c>
      <c r="L6" s="11"/>
      <c r="M6" s="92">
        <f>M3+M4</f>
        <v>0.1326</v>
      </c>
    </row>
    <row r="7" spans="5:13" ht="12.75">
      <c r="E7" s="54"/>
      <c r="G7" s="54"/>
      <c r="I7" s="54"/>
      <c r="K7" s="54"/>
      <c r="M7" s="54"/>
    </row>
    <row r="8" spans="3:13" ht="12.75">
      <c r="C8" t="s">
        <v>124</v>
      </c>
      <c r="E8" s="54">
        <v>0.0536</v>
      </c>
      <c r="G8" s="54">
        <v>0.0536</v>
      </c>
      <c r="I8" s="54">
        <v>0.0536</v>
      </c>
      <c r="K8" s="54">
        <v>0.0536</v>
      </c>
      <c r="M8" s="54">
        <v>0.0536</v>
      </c>
    </row>
    <row r="9" spans="3:13" ht="12.75">
      <c r="C9" t="s">
        <v>125</v>
      </c>
      <c r="E9" s="54">
        <v>-0.0363</v>
      </c>
      <c r="G9" s="54">
        <v>-0.0363</v>
      </c>
      <c r="I9" s="54">
        <v>-0.0363</v>
      </c>
      <c r="K9" s="54">
        <v>-0.0363</v>
      </c>
      <c r="M9" s="54">
        <v>-0.0363</v>
      </c>
    </row>
    <row r="10" spans="3:13" ht="12.75">
      <c r="C10" t="s">
        <v>126</v>
      </c>
      <c r="E10" s="54">
        <v>0.135</v>
      </c>
      <c r="G10" s="54">
        <v>0.135</v>
      </c>
      <c r="I10" s="54">
        <v>0.135</v>
      </c>
      <c r="K10" s="54">
        <v>0.135</v>
      </c>
      <c r="M10" s="54">
        <v>0.135</v>
      </c>
    </row>
    <row r="11" spans="5:13" ht="13.5" thickBot="1">
      <c r="E11" s="54"/>
      <c r="G11" s="54"/>
      <c r="I11" s="54"/>
      <c r="K11" s="54"/>
      <c r="M11" s="54"/>
    </row>
    <row r="12" spans="3:13" ht="13.5" thickBot="1">
      <c r="C12" s="46" t="s">
        <v>127</v>
      </c>
      <c r="D12" s="47"/>
      <c r="E12" s="87">
        <f>E6+SUM(E8:E10)</f>
        <v>0.28490000000000004</v>
      </c>
      <c r="F12" s="47"/>
      <c r="G12" s="87">
        <f>G6+SUM(G8:G10)</f>
        <v>0.28490000000000004</v>
      </c>
      <c r="H12" s="47"/>
      <c r="I12" s="87">
        <f>I6+SUM(I8:I10)</f>
        <v>0.28490000000000004</v>
      </c>
      <c r="J12" s="47"/>
      <c r="K12" s="87">
        <f>K6+SUM(K8:K10)</f>
        <v>0.28490000000000004</v>
      </c>
      <c r="L12" s="47"/>
      <c r="M12" s="83">
        <f>M6+SUM(M8:M10)</f>
        <v>0.28490000000000004</v>
      </c>
    </row>
    <row r="13" spans="3:13" ht="12.75">
      <c r="C13" t="s">
        <v>128</v>
      </c>
      <c r="E13" s="54">
        <v>0.569</v>
      </c>
      <c r="G13" s="54">
        <v>0.569</v>
      </c>
      <c r="I13" s="54">
        <v>0.569</v>
      </c>
      <c r="K13" s="54">
        <v>0.569</v>
      </c>
      <c r="M13" s="54">
        <v>0.569</v>
      </c>
    </row>
    <row r="14" spans="5:13" ht="13.5" thickBot="1">
      <c r="E14" s="54"/>
      <c r="G14" s="54"/>
      <c r="I14" s="54"/>
      <c r="K14" s="54"/>
      <c r="M14" s="54"/>
    </row>
    <row r="15" spans="3:13" ht="13.5" thickBot="1">
      <c r="C15" s="17" t="s">
        <v>161</v>
      </c>
      <c r="D15" s="18"/>
      <c r="E15" s="88">
        <f>E12*E13</f>
        <v>0.1621081</v>
      </c>
      <c r="F15" s="18"/>
      <c r="G15" s="88">
        <f>G12*G13</f>
        <v>0.1621081</v>
      </c>
      <c r="H15" s="18"/>
      <c r="I15" s="88">
        <f>I12*I13</f>
        <v>0.1621081</v>
      </c>
      <c r="J15" s="18"/>
      <c r="K15" s="88">
        <f>K12*K13</f>
        <v>0.1621081</v>
      </c>
      <c r="L15" s="18"/>
      <c r="M15" s="82">
        <f>M12*M13</f>
        <v>0.1621081</v>
      </c>
    </row>
    <row r="16" spans="5:13" ht="12.75">
      <c r="E16" s="54"/>
      <c r="G16" s="54"/>
      <c r="I16" s="54"/>
      <c r="K16" s="54"/>
      <c r="M16" s="54"/>
    </row>
    <row r="17" spans="3:13" ht="12.75">
      <c r="C17" t="s">
        <v>129</v>
      </c>
      <c r="E17" s="54">
        <v>0.073</v>
      </c>
      <c r="G17" s="54">
        <v>0.073</v>
      </c>
      <c r="I17" s="54">
        <v>0.073</v>
      </c>
      <c r="K17" s="54">
        <v>0.073</v>
      </c>
      <c r="M17" s="54">
        <v>0.073</v>
      </c>
    </row>
    <row r="18" spans="3:13" ht="12.75">
      <c r="C18" t="s">
        <v>130</v>
      </c>
      <c r="E18" s="54">
        <f>'Income Taxes'!E11</f>
        <v>0</v>
      </c>
      <c r="F18" s="54"/>
      <c r="G18" s="54">
        <f>'Income Taxes'!G11</f>
        <v>0</v>
      </c>
      <c r="H18" s="54"/>
      <c r="I18" s="54">
        <f>'Income Taxes'!I11</f>
        <v>0</v>
      </c>
      <c r="J18" s="54"/>
      <c r="K18" s="54">
        <f>'Income Taxes'!K11</f>
        <v>0</v>
      </c>
      <c r="L18" s="54"/>
      <c r="M18" s="54">
        <f>'Income Taxes'!M11*-1</f>
        <v>0.388</v>
      </c>
    </row>
    <row r="19" spans="5:13" ht="13.5" thickBot="1">
      <c r="E19" s="54"/>
      <c r="G19" s="54"/>
      <c r="I19" s="54"/>
      <c r="K19" s="54"/>
      <c r="M19" s="54"/>
    </row>
    <row r="20" spans="3:13" ht="13.5" thickBot="1">
      <c r="C20" s="46" t="s">
        <v>143</v>
      </c>
      <c r="D20" s="47"/>
      <c r="E20" s="87">
        <f>E17*(1-E18)</f>
        <v>0.073</v>
      </c>
      <c r="F20" s="47"/>
      <c r="G20" s="87">
        <f>G17*(1-G18)</f>
        <v>0.073</v>
      </c>
      <c r="H20" s="47"/>
      <c r="I20" s="87">
        <f>I17*(1-I18)</f>
        <v>0.073</v>
      </c>
      <c r="J20" s="47"/>
      <c r="K20" s="87">
        <f>K17*(1-K18)</f>
        <v>0.073</v>
      </c>
      <c r="L20" s="47"/>
      <c r="M20" s="83">
        <f>M17*(1-M18)</f>
        <v>0.044675999999999993</v>
      </c>
    </row>
    <row r="21" spans="3:13" ht="12.75">
      <c r="C21" t="s">
        <v>131</v>
      </c>
      <c r="E21" s="54">
        <v>0.431</v>
      </c>
      <c r="G21" s="54">
        <v>0.431</v>
      </c>
      <c r="I21" s="54">
        <v>0.431</v>
      </c>
      <c r="K21" s="54">
        <v>0.431</v>
      </c>
      <c r="M21" s="54">
        <v>0.431</v>
      </c>
    </row>
    <row r="22" spans="5:13" ht="13.5" thickBot="1">
      <c r="E22" s="54"/>
      <c r="G22" s="54"/>
      <c r="I22" s="54"/>
      <c r="K22" s="54"/>
      <c r="M22" s="54"/>
    </row>
    <row r="23" spans="3:13" ht="13.5" thickBot="1">
      <c r="C23" s="17" t="s">
        <v>144</v>
      </c>
      <c r="D23" s="18"/>
      <c r="E23" s="88">
        <f>E20*E21</f>
        <v>0.031463</v>
      </c>
      <c r="F23" s="18"/>
      <c r="G23" s="88">
        <f>G20*G21</f>
        <v>0.031463</v>
      </c>
      <c r="H23" s="18"/>
      <c r="I23" s="88">
        <f>I20*I21</f>
        <v>0.031463</v>
      </c>
      <c r="J23" s="18"/>
      <c r="K23" s="88">
        <f>K20*K21</f>
        <v>0.031463</v>
      </c>
      <c r="L23" s="18"/>
      <c r="M23" s="82">
        <f>M20*M21</f>
        <v>0.019255355999999998</v>
      </c>
    </row>
    <row r="24" spans="5:13" ht="13.5" thickBot="1">
      <c r="E24" s="54"/>
      <c r="G24" s="54"/>
      <c r="I24" s="54"/>
      <c r="K24" s="54"/>
      <c r="M24" s="54"/>
    </row>
    <row r="25" spans="3:13" ht="13.5" thickBot="1">
      <c r="C25" s="55" t="s">
        <v>133</v>
      </c>
      <c r="D25" s="22"/>
      <c r="E25" s="89">
        <f>E15+E23</f>
        <v>0.1935711</v>
      </c>
      <c r="F25" s="22"/>
      <c r="G25" s="89">
        <f>G15+G23</f>
        <v>0.1935711</v>
      </c>
      <c r="H25" s="22"/>
      <c r="I25" s="89">
        <f>I15+I23</f>
        <v>0.1935711</v>
      </c>
      <c r="J25" s="22"/>
      <c r="K25" s="89">
        <f>K15+K23</f>
        <v>0.1935711</v>
      </c>
      <c r="L25" s="22"/>
      <c r="M25" s="84">
        <f>M15+M23</f>
        <v>0.181363456</v>
      </c>
    </row>
    <row r="26" ht="12.75">
      <c r="D26" s="54"/>
    </row>
    <row r="28" ht="12.75">
      <c r="E28" s="54"/>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Deputy Clerk</dc:creator>
  <cp:keywords/>
  <dc:description/>
  <cp:lastModifiedBy>Deputy Clerk</cp:lastModifiedBy>
  <cp:lastPrinted>2007-08-31T16:29:42Z</cp:lastPrinted>
  <dcterms:created xsi:type="dcterms:W3CDTF">2007-08-10T21:18:09Z</dcterms:created>
  <dcterms:modified xsi:type="dcterms:W3CDTF">2008-05-12T13:57:33Z</dcterms:modified>
  <cp:category/>
  <cp:version/>
  <cp:contentType/>
  <cp:contentStatus/>
</cp:coreProperties>
</file>